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HomeBug\Savings Analysis\"/>
    </mc:Choice>
  </mc:AlternateContent>
  <bookViews>
    <workbookView xWindow="240" yWindow="30" windowWidth="20115" windowHeight="7740"/>
  </bookViews>
  <sheets>
    <sheet name="Standing" sheetId="5" r:id="rId1"/>
    <sheet name="Annual" sheetId="4" r:id="rId2"/>
    <sheet name="Sources" sheetId="3" r:id="rId3"/>
  </sheets>
  <calcPr calcId="171027"/>
</workbook>
</file>

<file path=xl/calcChain.xml><?xml version="1.0" encoding="utf-8"?>
<calcChain xmlns="http://schemas.openxmlformats.org/spreadsheetml/2006/main">
  <c r="L20" i="4" l="1"/>
  <c r="D5" i="4"/>
  <c r="D6" i="4" s="1"/>
  <c r="G24" i="4" l="1"/>
  <c r="G25" i="4"/>
  <c r="E18" i="4" l="1"/>
  <c r="E17" i="4"/>
  <c r="L18" i="4"/>
  <c r="T18" i="4"/>
  <c r="U18" i="4" s="1"/>
  <c r="O20" i="4"/>
  <c r="O21" i="4" s="1"/>
  <c r="O22" i="4" s="1"/>
  <c r="O23" i="4" s="1"/>
  <c r="L4" i="4" l="1"/>
  <c r="K4" i="4"/>
  <c r="J4" i="4"/>
  <c r="C5" i="5"/>
  <c r="M18" i="5"/>
  <c r="L18" i="5"/>
  <c r="K18" i="5"/>
  <c r="J18" i="5"/>
  <c r="I18" i="5"/>
  <c r="H18" i="5"/>
  <c r="G18" i="5"/>
  <c r="B16" i="4"/>
  <c r="C3" i="5"/>
  <c r="C7" i="5"/>
  <c r="F6" i="5"/>
  <c r="I5" i="5" s="1"/>
  <c r="M9" i="5"/>
  <c r="M16" i="5" s="1"/>
  <c r="B17" i="4" l="1"/>
  <c r="L21" i="4"/>
  <c r="L22" i="4" s="1"/>
  <c r="L23" i="4" s="1"/>
  <c r="O18" i="4" s="1"/>
  <c r="M15" i="5"/>
  <c r="M11" i="5"/>
  <c r="M12" i="5"/>
  <c r="M14" i="5"/>
  <c r="M13" i="5"/>
  <c r="M17" i="5"/>
  <c r="E22" i="4" l="1"/>
  <c r="C22" i="4"/>
  <c r="T35" i="3"/>
  <c r="S35" i="3"/>
  <c r="L9" i="5"/>
  <c r="L17" i="5" s="1"/>
  <c r="K9" i="5"/>
  <c r="J9" i="5"/>
  <c r="J17" i="5" s="1"/>
  <c r="I9" i="5"/>
  <c r="I17" i="5" s="1"/>
  <c r="H9" i="5"/>
  <c r="H15" i="5" s="1"/>
  <c r="G9" i="5"/>
  <c r="G15" i="5" s="1"/>
  <c r="D23" i="5"/>
  <c r="T34" i="3"/>
  <c r="S34" i="3"/>
  <c r="T37" i="3"/>
  <c r="S37" i="3"/>
  <c r="T36" i="3"/>
  <c r="S36" i="3"/>
  <c r="T33" i="3"/>
  <c r="S33" i="3"/>
  <c r="T32" i="3"/>
  <c r="S32" i="3"/>
  <c r="T31" i="3"/>
  <c r="S31" i="3"/>
  <c r="T30" i="3"/>
  <c r="S30" i="3"/>
  <c r="S29" i="3"/>
  <c r="T29" i="3"/>
  <c r="V29" i="3" s="1"/>
  <c r="I43" i="3"/>
  <c r="H43" i="3"/>
  <c r="I42" i="3"/>
  <c r="H42" i="3"/>
  <c r="I41" i="3"/>
  <c r="H41" i="3"/>
  <c r="I40" i="3"/>
  <c r="H40" i="3"/>
  <c r="I39" i="3"/>
  <c r="H39" i="3"/>
  <c r="I38" i="3"/>
  <c r="H38" i="3"/>
  <c r="I37" i="3"/>
  <c r="H37" i="3"/>
  <c r="I30" i="3"/>
  <c r="K30" i="3" s="1"/>
  <c r="I31" i="3"/>
  <c r="I32" i="3"/>
  <c r="I33" i="3"/>
  <c r="H33" i="3"/>
  <c r="H32" i="3"/>
  <c r="H31" i="3"/>
  <c r="H30" i="3"/>
  <c r="E8" i="3"/>
  <c r="V35" i="3" l="1"/>
  <c r="K38" i="3"/>
  <c r="L38" i="3" s="1"/>
  <c r="K40" i="3"/>
  <c r="L40" i="3" s="1"/>
  <c r="K42" i="3"/>
  <c r="L42" i="3" s="1"/>
  <c r="V30" i="3"/>
  <c r="W30" i="3" s="1"/>
  <c r="H10" i="5" s="1"/>
  <c r="V32" i="3"/>
  <c r="W32" i="3" s="1"/>
  <c r="J10" i="5" s="1"/>
  <c r="V36" i="3"/>
  <c r="V34" i="3"/>
  <c r="K33" i="3"/>
  <c r="L33" i="3" s="1"/>
  <c r="K32" i="3"/>
  <c r="L32" i="3" s="1"/>
  <c r="K37" i="3"/>
  <c r="L37" i="3" s="1"/>
  <c r="K39" i="3"/>
  <c r="L39" i="3" s="1"/>
  <c r="J41" i="3"/>
  <c r="K41" i="3"/>
  <c r="K43" i="3"/>
  <c r="L43" i="3" s="1"/>
  <c r="W29" i="3"/>
  <c r="V31" i="3"/>
  <c r="V33" i="3"/>
  <c r="W33" i="3" s="1"/>
  <c r="K10" i="5" s="1"/>
  <c r="V37" i="3"/>
  <c r="K13" i="5"/>
  <c r="K11" i="5"/>
  <c r="K31" i="3"/>
  <c r="L31" i="3" s="1"/>
  <c r="G22" i="4"/>
  <c r="G10" i="5"/>
  <c r="G17" i="5"/>
  <c r="I12" i="5"/>
  <c r="I16" i="5"/>
  <c r="W35" i="3"/>
  <c r="M10" i="5" s="1"/>
  <c r="U35" i="3"/>
  <c r="W31" i="3"/>
  <c r="I10" i="5" s="1"/>
  <c r="W37" i="3"/>
  <c r="G11" i="5"/>
  <c r="W36" i="3"/>
  <c r="W34" i="3"/>
  <c r="L10" i="5" s="1"/>
  <c r="G12" i="5"/>
  <c r="L41" i="3"/>
  <c r="J38" i="3"/>
  <c r="J37" i="3"/>
  <c r="H14" i="5"/>
  <c r="K14" i="5"/>
  <c r="G14" i="5"/>
  <c r="K16" i="5"/>
  <c r="G16" i="5"/>
  <c r="L11" i="5"/>
  <c r="L15" i="5"/>
  <c r="L12" i="5"/>
  <c r="L16" i="5"/>
  <c r="L14" i="5"/>
  <c r="L13" i="5"/>
  <c r="K15" i="5"/>
  <c r="K12" i="5"/>
  <c r="K17" i="5"/>
  <c r="J14" i="5"/>
  <c r="J11" i="5"/>
  <c r="J15" i="5"/>
  <c r="J12" i="5"/>
  <c r="J16" i="5"/>
  <c r="J13" i="5"/>
  <c r="I13" i="5"/>
  <c r="I14" i="5"/>
  <c r="I11" i="5"/>
  <c r="I15" i="5"/>
  <c r="H16" i="5"/>
  <c r="H12" i="5"/>
  <c r="H17" i="5"/>
  <c r="H11" i="5"/>
  <c r="H13" i="5"/>
  <c r="G13" i="5"/>
  <c r="U30" i="3"/>
  <c r="J42" i="3"/>
  <c r="J39" i="3"/>
  <c r="J43" i="3"/>
  <c r="L30" i="3"/>
  <c r="U29" i="3"/>
  <c r="U37" i="3"/>
  <c r="U31" i="3"/>
  <c r="U32" i="3"/>
  <c r="U36" i="3"/>
  <c r="U34" i="3"/>
  <c r="U33" i="3"/>
  <c r="J40" i="3"/>
  <c r="J32" i="3"/>
  <c r="J33" i="3"/>
  <c r="J31" i="3"/>
  <c r="J30" i="3"/>
  <c r="C2" i="5"/>
  <c r="F2" i="5" s="1"/>
  <c r="F10" i="5" l="1"/>
  <c r="F3" i="5" s="1"/>
  <c r="B9" i="4" s="1"/>
  <c r="F18" i="5"/>
  <c r="G14" i="4" s="1"/>
  <c r="F9" i="5"/>
  <c r="F11" i="5" s="1"/>
  <c r="H14" i="4" l="1"/>
  <c r="I14" i="4" s="1"/>
  <c r="L14" i="4"/>
  <c r="J14" i="4"/>
  <c r="K14" i="4"/>
  <c r="G7" i="4"/>
  <c r="F14" i="5"/>
  <c r="F15" i="5"/>
  <c r="G11" i="4" s="1"/>
  <c r="F17" i="5"/>
  <c r="G13" i="4" s="1"/>
  <c r="F16" i="5"/>
  <c r="G12" i="4" s="1"/>
  <c r="F12" i="5"/>
  <c r="G8" i="4" s="1"/>
  <c r="F13" i="5"/>
  <c r="G9" i="4" s="1"/>
  <c r="I34" i="5"/>
  <c r="K2" i="5"/>
  <c r="H12" i="4" l="1"/>
  <c r="I12" i="4" s="1"/>
  <c r="J12" i="4"/>
  <c r="K12" i="4"/>
  <c r="L12" i="4"/>
  <c r="H7" i="4"/>
  <c r="I7" i="4" s="1"/>
  <c r="K7" i="4"/>
  <c r="J7" i="4"/>
  <c r="L7" i="4"/>
  <c r="H8" i="4"/>
  <c r="I8" i="4" s="1"/>
  <c r="J8" i="4"/>
  <c r="L8" i="4"/>
  <c r="K8" i="4"/>
  <c r="H13" i="4"/>
  <c r="I13" i="4" s="1"/>
  <c r="K13" i="4"/>
  <c r="J13" i="4"/>
  <c r="L13" i="4"/>
  <c r="H9" i="4"/>
  <c r="I9" i="4" s="1"/>
  <c r="K9" i="4"/>
  <c r="L9" i="4"/>
  <c r="J9" i="4"/>
  <c r="H11" i="4"/>
  <c r="I11" i="4" s="1"/>
  <c r="K11" i="4"/>
  <c r="J11" i="4"/>
  <c r="L11" i="4"/>
  <c r="C4" i="5"/>
  <c r="G10" i="4"/>
  <c r="H10" i="4" l="1"/>
  <c r="I10" i="4" s="1"/>
  <c r="L10" i="4"/>
  <c r="J10" i="4"/>
  <c r="K10" i="4"/>
  <c r="F4" i="5"/>
  <c r="B14" i="4" s="1"/>
  <c r="U40" i="5"/>
  <c r="V40" i="5" s="1"/>
  <c r="W40" i="5" s="1"/>
  <c r="Z39" i="5" s="1"/>
  <c r="AC40" i="5" s="1"/>
  <c r="U39" i="5"/>
  <c r="B7" i="4"/>
  <c r="K3" i="5"/>
  <c r="I23" i="5"/>
  <c r="F7" i="5" l="1"/>
  <c r="I4" i="5"/>
  <c r="I6" i="5" s="1"/>
  <c r="B12" i="4"/>
  <c r="B22" i="4" l="1"/>
  <c r="I24" i="4" s="1"/>
  <c r="B13" i="4"/>
  <c r="B27" i="4" l="1"/>
  <c r="E27" i="4" s="1"/>
  <c r="F22" i="4" l="1"/>
  <c r="D22" i="4" s="1"/>
  <c r="I26" i="4" s="1"/>
  <c r="C27" i="4" l="1"/>
  <c r="F27" i="4" s="1"/>
  <c r="I25" i="4"/>
  <c r="H22" i="4"/>
  <c r="L31" i="4" s="1"/>
  <c r="E31" i="4" l="1"/>
</calcChain>
</file>

<file path=xl/sharedStrings.xml><?xml version="1.0" encoding="utf-8"?>
<sst xmlns="http://schemas.openxmlformats.org/spreadsheetml/2006/main" count="310" uniqueCount="213">
  <si>
    <t>L</t>
  </si>
  <si>
    <t>-</t>
  </si>
  <si>
    <t>KG</t>
  </si>
  <si>
    <t>KW</t>
  </si>
  <si>
    <t>Size of geyser</t>
  </si>
  <si>
    <t>Standard sizes</t>
  </si>
  <si>
    <t>L per person</t>
  </si>
  <si>
    <t>L '+ standard</t>
  </si>
  <si>
    <t>People</t>
  </si>
  <si>
    <t>http://www.pow-a-mate.co.za/FAQ.html</t>
  </si>
  <si>
    <t>http://www.geysers.co.za/geyser_maintenance.htm#tray</t>
  </si>
  <si>
    <t>100 kPa = 15 litres / minute. (combined flow)</t>
  </si>
  <si>
    <t>200 kPa = 22 litres / minute. (combined flow)</t>
  </si>
  <si>
    <t>400 kPa = 34 litres / minute. (combined flow)</t>
  </si>
  <si>
    <t>http://www.geysers.co.za/geysers.htm</t>
  </si>
  <si>
    <t>Total required</t>
  </si>
  <si>
    <t>C - common setting</t>
  </si>
  <si>
    <t>C - 'efficient' setting</t>
  </si>
  <si>
    <t>Super efficient?</t>
  </si>
  <si>
    <t>Daily Analysis</t>
  </si>
  <si>
    <t>A</t>
  </si>
  <si>
    <t>B</t>
  </si>
  <si>
    <t>C</t>
  </si>
  <si>
    <t>D</t>
  </si>
  <si>
    <t>E</t>
  </si>
  <si>
    <t>F</t>
  </si>
  <si>
    <t>G</t>
  </si>
  <si>
    <t>x</t>
  </si>
  <si>
    <t>http://timetable.cput.ac.za/_other_web_files/_cue/DUE/1998/PDF/46%20Breakspear%20D.pdf</t>
  </si>
  <si>
    <t>Water usage</t>
  </si>
  <si>
    <t>http://active.cput.ac.za/energy/past_papers/DUE/1995/PDF/26%20Uken%20EA.pdf</t>
  </si>
  <si>
    <t>Standing losses</t>
  </si>
  <si>
    <t>Category</t>
  </si>
  <si>
    <t>http://fi.edu/guide/schutte/howmuch.html</t>
  </si>
  <si>
    <t>How much water do I use?</t>
  </si>
  <si>
    <t>http://wiki.answers.com/Q/How_many_gallons_of_water_per_minute_does_the_average_shower_use</t>
  </si>
  <si>
    <t>http://askville.amazon.com/gallons-water-average-10-minute-shower/AnswerViewer.do?requestId=2548818</t>
  </si>
  <si>
    <t>Temperature:</t>
  </si>
  <si>
    <r>
      <t>Standing Losses: S = F + xV</t>
    </r>
    <r>
      <rPr>
        <vertAlign val="superscript"/>
        <sz val="11"/>
        <color theme="1"/>
        <rFont val="Calibri"/>
        <family val="2"/>
        <scheme val="minor"/>
      </rPr>
      <t>0.4</t>
    </r>
  </si>
  <si>
    <t>Variables (Annex E)</t>
  </si>
  <si>
    <t>^</t>
  </si>
  <si>
    <t>Your tank size</t>
  </si>
  <si>
    <t>Tank category</t>
  </si>
  <si>
    <t>Standing Loss</t>
  </si>
  <si>
    <t>http://www.energy.gov.za/EEE/Projects/EnergyEfficiencyStandardsAndLabellingForHouseholdAppliances/Status-on-enablingStandards-SANS%20941-and-SANS-151.pdf</t>
  </si>
  <si>
    <t>W</t>
  </si>
  <si>
    <t>Example tank sizes:</t>
  </si>
  <si>
    <t>Standing losses - SANS151 ed7 Annex E…</t>
  </si>
  <si>
    <t>http://ec.europa.eu/energy/intelligent/files/faqs/06_energy_labelling_water_heater-c_2013_818.pdf</t>
  </si>
  <si>
    <t>SA numbers</t>
  </si>
  <si>
    <t>European numbers -- similar shows W!</t>
  </si>
  <si>
    <t>LITRE</t>
  </si>
  <si>
    <t>MM</t>
  </si>
  <si>
    <t>Capacity</t>
  </si>
  <si>
    <t>Mass</t>
  </si>
  <si>
    <t>Element Rating</t>
  </si>
  <si>
    <t>Mininmum Allow for Element Withdrawl</t>
  </si>
  <si>
    <t>Geyser shapes/sizes : geysers.co.za</t>
  </si>
  <si>
    <t>Presurised</t>
  </si>
  <si>
    <t>h</t>
  </si>
  <si>
    <t>r</t>
  </si>
  <si>
    <t>A (rad)</t>
  </si>
  <si>
    <t>B (height)</t>
  </si>
  <si>
    <t>R</t>
  </si>
  <si>
    <t>Surface (m2)</t>
  </si>
  <si>
    <t>Cap/Area</t>
  </si>
  <si>
    <t>External tank vol</t>
  </si>
  <si>
    <t>External tank vol (L)</t>
  </si>
  <si>
    <t>Rad</t>
  </si>
  <si>
    <t>Height</t>
  </si>
  <si>
    <t>Surface area (m2)</t>
  </si>
  <si>
    <t>Assuming standard sizes:</t>
  </si>
  <si>
    <t>Out</t>
  </si>
  <si>
    <t>Inside</t>
  </si>
  <si>
    <t>Diff</t>
  </si>
  <si>
    <t>Size</t>
  </si>
  <si>
    <t>http://www.spiraxsarco.com/resources/steam-engineering-tutorials/steam-engineering-principles-and-heat-transfer/energy-consumption-of-tanks-and-vats.asp</t>
  </si>
  <si>
    <t>Fig. 2.9.1</t>
  </si>
  <si>
    <t>Typical overall heat transfer coefficients</t>
  </si>
  <si>
    <t>from flat steel surfaces</t>
  </si>
  <si>
    <t>Top</t>
  </si>
  <si>
    <t>Sides</t>
  </si>
  <si>
    <t>Base</t>
  </si>
  <si>
    <t>Standard Temp difference</t>
  </si>
  <si>
    <t>For 25 mm of insulation, the U value should be multiplied by a factor of 0.2.</t>
  </si>
  <si>
    <t>For 50 mm of insulation, the U value should be multiplied by a factor of 0.1.</t>
  </si>
  <si>
    <t>(standard Td)</t>
  </si>
  <si>
    <t>deg C</t>
  </si>
  <si>
    <t>http://www.bre.co.uk/filelibrary/pdf/rpts/BR_443_(2006_Edition).pdf</t>
  </si>
  <si>
    <t>Mild steel (including galvanised steel) 50 W/m·K</t>
  </si>
  <si>
    <t>Stainless steel 17 W/m·K</t>
  </si>
  <si>
    <t>Aluminium (typical alloy) 160 W/m·K</t>
  </si>
  <si>
    <t>THERMAL CONDUCTIVITY: K = 0.038W/m°C</t>
  </si>
  <si>
    <t>WINTER CONDITIONS</t>
  </si>
  <si>
    <t>HEAT FLOWS DOWNWARDS</t>
  </si>
  <si>
    <t>THICKNESS</t>
  </si>
  <si>
    <t>U VALUE</t>
  </si>
  <si>
    <t>THERMAL</t>
  </si>
  <si>
    <t>TRANSMITTANCE</t>
  </si>
  <si>
    <t>(U) – W/M².EC</t>
  </si>
  <si>
    <t>R VALUE</t>
  </si>
  <si>
    <t>RESISTANCE</t>
  </si>
  <si>
    <t>(R) – M².EC/W</t>
  </si>
  <si>
    <t>REDUCTION IN HEAT FLOW</t>
  </si>
  <si>
    <t>%</t>
  </si>
  <si>
    <t>NO INSULATION</t>
  </si>
  <si>
    <t> 3.02</t>
  </si>
  <si>
    <t> 75mm</t>
  </si>
  <si>
    <t> 0.51</t>
  </si>
  <si>
    <t> 100mm</t>
  </si>
  <si>
    <t> 0.38</t>
  </si>
  <si>
    <t> 115mm</t>
  </si>
  <si>
    <t> 0.33</t>
  </si>
  <si>
    <t> 130mm</t>
  </si>
  <si>
    <t> 0.29</t>
  </si>
  <si>
    <t> 135mm</t>
  </si>
  <si>
    <t> 0.28</t>
  </si>
  <si>
    <t>http://www.thermguard.co.za/technical-info/</t>
  </si>
  <si>
    <t>Typical insulation</t>
  </si>
  <si>
    <r>
      <t>W/m</t>
    </r>
    <r>
      <rPr>
        <sz val="11"/>
        <color theme="1"/>
        <rFont val="Calibri"/>
        <family val="2"/>
      </rPr>
      <t>°C</t>
    </r>
  </si>
  <si>
    <t>Estimated sizes</t>
  </si>
  <si>
    <t>L closest size</t>
  </si>
  <si>
    <t>m2 guess SA</t>
  </si>
  <si>
    <t>http://www.engineeringtoolbox.com/overall-heat-transfer-coefficients-d_284.html</t>
  </si>
  <si>
    <t>Fluid</t>
  </si>
  <si>
    <t>Transmission Surface</t>
  </si>
  <si>
    <t>Overall Heat Transmission Coefficient</t>
  </si>
  <si>
    <r>
      <t>(Btu/ft</t>
    </r>
    <r>
      <rPr>
        <i/>
        <vertAlign val="superscript"/>
        <sz val="11"/>
        <color rgb="FF000000"/>
        <rFont val="Arial"/>
        <family val="2"/>
      </rPr>
      <t>2</t>
    </r>
    <r>
      <rPr>
        <i/>
        <sz val="11"/>
        <color rgb="FF000000"/>
        <rFont val="Arial"/>
        <family val="2"/>
      </rPr>
      <t> hr </t>
    </r>
    <r>
      <rPr>
        <i/>
        <vertAlign val="superscript"/>
        <sz val="11"/>
        <color rgb="FF000000"/>
        <rFont val="Arial"/>
        <family val="2"/>
      </rPr>
      <t>o</t>
    </r>
    <r>
      <rPr>
        <i/>
        <sz val="11"/>
        <color rgb="FF000000"/>
        <rFont val="Arial"/>
        <family val="2"/>
      </rPr>
      <t>F)</t>
    </r>
  </si>
  <si>
    <r>
      <t>(W/m</t>
    </r>
    <r>
      <rPr>
        <i/>
        <vertAlign val="superscript"/>
        <sz val="11"/>
        <color rgb="FF000000"/>
        <rFont val="Arial"/>
        <family val="2"/>
      </rPr>
      <t>2</t>
    </r>
    <r>
      <rPr>
        <i/>
        <sz val="11"/>
        <color rgb="FF000000"/>
        <rFont val="Arial"/>
        <family val="2"/>
      </rPr>
      <t> K)</t>
    </r>
  </si>
  <si>
    <t>Water</t>
  </si>
  <si>
    <t>Cast Iron</t>
  </si>
  <si>
    <t>Air or Gas</t>
  </si>
  <si>
    <t>Mild Steel</t>
  </si>
  <si>
    <t>Copper</t>
  </si>
  <si>
    <t>40 - 50</t>
  </si>
  <si>
    <t>230 - 280</t>
  </si>
  <si>
    <t>60 - 70</t>
  </si>
  <si>
    <t>340 - 400</t>
  </si>
  <si>
    <t>60 - 80</t>
  </si>
  <si>
    <t>340 - 455</t>
  </si>
  <si>
    <t>Air</t>
  </si>
  <si>
    <t>Steam</t>
  </si>
  <si>
    <t>Stainless Steel</t>
  </si>
  <si>
    <t>(Material)</t>
  </si>
  <si>
    <t>Mild steel</t>
  </si>
  <si>
    <t>Material U-value</t>
  </si>
  <si>
    <t>Watts no insulation</t>
  </si>
  <si>
    <t>(Insulation)</t>
  </si>
  <si>
    <t>Actual variables</t>
  </si>
  <si>
    <t>Watts with insulation</t>
  </si>
  <si>
    <t>Geyser U-value</t>
  </si>
  <si>
    <t>Hours per day</t>
  </si>
  <si>
    <t>Days per year</t>
  </si>
  <si>
    <t>days</t>
  </si>
  <si>
    <t>hours</t>
  </si>
  <si>
    <t>R/year</t>
  </si>
  <si>
    <t>R/kWH</t>
  </si>
  <si>
    <t>kWH/yr</t>
  </si>
  <si>
    <t>Electricity Cost</t>
  </si>
  <si>
    <t>W lost</t>
  </si>
  <si>
    <t>Spec Ht Cap Water</t>
  </si>
  <si>
    <t>°C</t>
  </si>
  <si>
    <t>Outside Temp</t>
  </si>
  <si>
    <t>Heat diff</t>
  </si>
  <si>
    <t>KJ/kg°C</t>
  </si>
  <si>
    <t>Standing loss</t>
  </si>
  <si>
    <t>Cost of loss</t>
  </si>
  <si>
    <t>KJ</t>
  </si>
  <si>
    <t>Heat energy full</t>
  </si>
  <si>
    <t>(max)</t>
  </si>
  <si>
    <t>(min)</t>
  </si>
  <si>
    <t>Implied Insulation factor</t>
  </si>
  <si>
    <t>Implied U-value</t>
  </si>
  <si>
    <r>
      <t>W/m</t>
    </r>
    <r>
      <rPr>
        <sz val="11"/>
        <color rgb="FF7F7F7F"/>
        <rFont val="Calibri"/>
        <family val="2"/>
      </rPr>
      <t>²</t>
    </r>
    <r>
      <rPr>
        <i/>
        <sz val="11"/>
        <color rgb="FF7F7F7F"/>
        <rFont val="Calibri"/>
        <family val="2"/>
        <scheme val="minor"/>
      </rPr>
      <t>°C</t>
    </r>
  </si>
  <si>
    <t>Water high temp</t>
  </si>
  <si>
    <t>(kWH/24hours)</t>
  </si>
  <si>
    <t>https://law.resource.org/pub/za/ibr/za.sans.151.2010.pdf</t>
  </si>
  <si>
    <t>Per 24 hours</t>
  </si>
  <si>
    <t>X</t>
  </si>
  <si>
    <t>Worst allowable solar/joint</t>
  </si>
  <si>
    <t>solar/jnt</t>
  </si>
  <si>
    <t>dT</t>
  </si>
  <si>
    <t>Est Surface area</t>
  </si>
  <si>
    <r>
      <t>m</t>
    </r>
    <r>
      <rPr>
        <sz val="11"/>
        <color rgb="FF7F7F7F"/>
        <rFont val="Calibri"/>
        <family val="2"/>
      </rPr>
      <t>²</t>
    </r>
  </si>
  <si>
    <t>min</t>
  </si>
  <si>
    <t>max</t>
  </si>
  <si>
    <t>ave</t>
  </si>
  <si>
    <t>Ambient</t>
  </si>
  <si>
    <t>U-value estimate</t>
  </si>
  <si>
    <t>KWH/yr</t>
  </si>
  <si>
    <t>Hours off</t>
  </si>
  <si>
    <t>KJ/KWH</t>
  </si>
  <si>
    <t>dt</t>
  </si>
  <si>
    <t>KJ/day</t>
  </si>
  <si>
    <t>kWH/day</t>
  </si>
  <si>
    <t>Stand</t>
  </si>
  <si>
    <t>Use</t>
  </si>
  <si>
    <t>After HB</t>
  </si>
  <si>
    <t>Before HB</t>
  </si>
  <si>
    <t>StandSave</t>
  </si>
  <si>
    <t>Use Save</t>
  </si>
  <si>
    <t>R/month on geyser!?</t>
  </si>
  <si>
    <t>Litres used per day</t>
  </si>
  <si>
    <t>Top Temp chg</t>
  </si>
  <si>
    <t>(dt of 10, 100L per day used)</t>
  </si>
  <si>
    <t>Geyser Cat</t>
  </si>
  <si>
    <t>Geyser size (L)</t>
  </si>
  <si>
    <t>(150L, Category F geyser)</t>
  </si>
  <si>
    <t>No control</t>
  </si>
  <si>
    <t>Timer</t>
  </si>
  <si>
    <t>HB</t>
  </si>
  <si>
    <t>Kwh</t>
  </si>
  <si>
    <t>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</si>
</sst>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0.000"/>
    <numFmt numFmtId="166" formatCode="0.0"/>
    <numFmt numFmtId="169" formatCode="0.0%"/>
    <numFmt numFmtId="170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494949"/>
      <name val="Droid Serif"/>
    </font>
    <font>
      <sz val="9"/>
      <color rgb="FF666666"/>
      <name val="Inherit"/>
    </font>
    <font>
      <b/>
      <sz val="9"/>
      <color rgb="FF666666"/>
      <name val="Inherit"/>
    </font>
    <font>
      <sz val="9"/>
      <color rgb="FF666666"/>
      <name val="Helvetica Neue"/>
      <family val="3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sz val="11"/>
      <color rgb="FF7F7F7F"/>
      <name val="Calibri"/>
      <family val="2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8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7F7F7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7F7F7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E5E5E5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/>
      <diagonal/>
    </border>
    <border>
      <left style="medium">
        <color rgb="FFE5E5E5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ck">
        <color rgb="FFC0C0C0"/>
      </left>
      <right style="medium">
        <color rgb="FFCCCCCC"/>
      </right>
      <top style="thick">
        <color rgb="FFC0C0C0"/>
      </top>
      <bottom/>
      <diagonal/>
    </border>
    <border>
      <left style="medium">
        <color rgb="FFCCCCCC"/>
      </left>
      <right style="medium">
        <color rgb="FFCCCCCC"/>
      </right>
      <top style="thick">
        <color rgb="FFC0C0C0"/>
      </top>
      <bottom/>
      <diagonal/>
    </border>
    <border>
      <left style="thick">
        <color rgb="FFC0C0C0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ck">
        <color rgb="FFC0C0C0"/>
      </right>
      <top style="medium">
        <color rgb="FFCCCCCC"/>
      </top>
      <bottom style="medium">
        <color rgb="FFCCCCCC"/>
      </bottom>
      <diagonal/>
    </border>
    <border>
      <left style="thick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C0C0C0"/>
      </left>
      <right style="medium">
        <color rgb="FFCCCCCC"/>
      </right>
      <top style="medium">
        <color rgb="FFCCCCCC"/>
      </top>
      <bottom style="thick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C0C0C0"/>
      </bottom>
      <diagonal/>
    </border>
    <border>
      <left style="medium">
        <color rgb="FFCCCCCC"/>
      </left>
      <right style="thick">
        <color rgb="FFC0C0C0"/>
      </right>
      <top style="medium">
        <color rgb="FFCCCCCC"/>
      </top>
      <bottom style="thick">
        <color rgb="FFC0C0C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3F3F3F"/>
      </bottom>
      <diagonal/>
    </border>
    <border>
      <left/>
      <right/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/>
      <right style="thin">
        <color rgb="FF3F3F3F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/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/>
      <right style="thin">
        <color rgb="FF3F3F3F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6" fillId="6" borderId="2" applyNumberFormat="0" applyAlignment="0" applyProtection="0"/>
    <xf numFmtId="0" fontId="7" fillId="6" borderId="1" applyNumberFormat="0" applyAlignment="0" applyProtection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89">
    <xf numFmtId="0" fontId="0" fillId="0" borderId="0" xfId="0"/>
    <xf numFmtId="0" fontId="13" fillId="0" borderId="0" xfId="9"/>
    <xf numFmtId="2" fontId="0" fillId="0" borderId="0" xfId="0" applyNumberFormat="1"/>
    <xf numFmtId="166" fontId="0" fillId="0" borderId="0" xfId="0" applyNumberFormat="1"/>
    <xf numFmtId="0" fontId="0" fillId="0" borderId="0" xfId="0" quotePrefix="1"/>
    <xf numFmtId="0" fontId="14" fillId="0" borderId="0" xfId="0" applyFont="1" applyAlignment="1">
      <alignment horizontal="left" vertical="center" indent="1"/>
    </xf>
    <xf numFmtId="1" fontId="0" fillId="0" borderId="0" xfId="0" applyNumberFormat="1"/>
    <xf numFmtId="0" fontId="0" fillId="0" borderId="0" xfId="0" applyAlignment="1">
      <alignment horizontal="center"/>
    </xf>
    <xf numFmtId="1" fontId="7" fillId="6" borderId="1" xfId="7" applyNumberFormat="1"/>
    <xf numFmtId="0" fontId="10" fillId="0" borderId="0" xfId="8"/>
    <xf numFmtId="0" fontId="5" fillId="5" borderId="1" xfId="5"/>
    <xf numFmtId="0" fontId="3" fillId="3" borderId="0" xfId="3"/>
    <xf numFmtId="0" fontId="0" fillId="13" borderId="0" xfId="0" applyFill="1"/>
    <xf numFmtId="0" fontId="9" fillId="9" borderId="0" xfId="0" applyFont="1" applyFill="1" applyAlignment="1">
      <alignment horizontal="right"/>
    </xf>
    <xf numFmtId="0" fontId="9" fillId="10" borderId="0" xfId="0" applyFont="1" applyFill="1" applyAlignment="1">
      <alignment horizontal="right"/>
    </xf>
    <xf numFmtId="0" fontId="9" fillId="15" borderId="0" xfId="0" applyFont="1" applyFill="1" applyAlignment="1">
      <alignment horizontal="right"/>
    </xf>
    <xf numFmtId="0" fontId="9" fillId="8" borderId="0" xfId="0" applyFont="1" applyFill="1" applyAlignment="1">
      <alignment horizontal="right"/>
    </xf>
    <xf numFmtId="0" fontId="9" fillId="11" borderId="0" xfId="0" applyFont="1" applyFill="1" applyAlignment="1">
      <alignment horizontal="right"/>
    </xf>
    <xf numFmtId="0" fontId="9" fillId="12" borderId="0" xfId="0" applyFont="1" applyFill="1" applyAlignment="1">
      <alignment horizontal="right"/>
    </xf>
    <xf numFmtId="0" fontId="9" fillId="14" borderId="0" xfId="0" applyFont="1" applyFill="1" applyAlignment="1">
      <alignment horizontal="right"/>
    </xf>
    <xf numFmtId="0" fontId="10" fillId="0" borderId="0" xfId="8" applyAlignment="1">
      <alignment horizontal="center"/>
    </xf>
    <xf numFmtId="0" fontId="0" fillId="0" borderId="0" xfId="0" applyAlignment="1">
      <alignment horizontal="right"/>
    </xf>
    <xf numFmtId="0" fontId="2" fillId="2" borderId="1" xfId="2" applyBorder="1"/>
    <xf numFmtId="0" fontId="5" fillId="5" borderId="1" xfId="5" applyAlignment="1">
      <alignment horizontal="right"/>
    </xf>
    <xf numFmtId="1" fontId="5" fillId="5" borderId="1" xfId="5" applyNumberFormat="1"/>
    <xf numFmtId="0" fontId="4" fillId="4" borderId="1" xfId="4" applyBorder="1"/>
    <xf numFmtId="0" fontId="17" fillId="7" borderId="4" xfId="0" applyFont="1" applyFill="1" applyBorder="1" applyAlignment="1">
      <alignment horizontal="center" vertical="center" wrapText="1"/>
    </xf>
    <xf numFmtId="0" fontId="17" fillId="16" borderId="4" xfId="0" applyFont="1" applyFill="1" applyBorder="1" applyAlignment="1">
      <alignment horizontal="center" vertical="center" wrapText="1"/>
    </xf>
    <xf numFmtId="0" fontId="17" fillId="16" borderId="5" xfId="0" applyFont="1" applyFill="1" applyBorder="1" applyAlignment="1">
      <alignment horizontal="center" vertical="center" wrapText="1"/>
    </xf>
    <xf numFmtId="9" fontId="0" fillId="0" borderId="0" xfId="0" applyNumberFormat="1"/>
    <xf numFmtId="0" fontId="11" fillId="0" borderId="0" xfId="0" applyFont="1"/>
    <xf numFmtId="0" fontId="15" fillId="0" borderId="0" xfId="0" applyFont="1"/>
    <xf numFmtId="9" fontId="17" fillId="16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7" fillId="13" borderId="5" xfId="0" applyFont="1" applyFill="1" applyBorder="1" applyAlignment="1">
      <alignment horizontal="center" vertical="center" wrapText="1"/>
    </xf>
    <xf numFmtId="0" fontId="17" fillId="13" borderId="4" xfId="0" applyFont="1" applyFill="1" applyBorder="1" applyAlignment="1">
      <alignment horizontal="center" vertical="center" wrapText="1"/>
    </xf>
    <xf numFmtId="1" fontId="0" fillId="13" borderId="0" xfId="0" applyNumberFormat="1" applyFill="1"/>
    <xf numFmtId="166" fontId="0" fillId="13" borderId="0" xfId="0" applyNumberFormat="1" applyFill="1"/>
    <xf numFmtId="2" fontId="10" fillId="0" borderId="0" xfId="8" applyNumberFormat="1" applyAlignment="1">
      <alignment horizontal="center"/>
    </xf>
    <xf numFmtId="166" fontId="10" fillId="0" borderId="0" xfId="8" applyNumberFormat="1" applyAlignment="1">
      <alignment horizontal="center"/>
    </xf>
    <xf numFmtId="1" fontId="10" fillId="0" borderId="0" xfId="8" applyNumberFormat="1" applyAlignment="1">
      <alignment horizontal="center"/>
    </xf>
    <xf numFmtId="1" fontId="0" fillId="0" borderId="0" xfId="0" applyNumberFormat="1" applyAlignment="1">
      <alignment horizontal="right"/>
    </xf>
    <xf numFmtId="166" fontId="10" fillId="0" borderId="0" xfId="8" applyNumberFormat="1" applyAlignment="1">
      <alignment horizontal="left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4" fillId="0" borderId="32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0" xfId="9" applyAlignment="1"/>
    <xf numFmtId="0" fontId="0" fillId="0" borderId="0" xfId="0" applyAlignment="1"/>
    <xf numFmtId="0" fontId="24" fillId="0" borderId="38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18" fillId="0" borderId="0" xfId="0" applyFont="1" applyAlignment="1"/>
    <xf numFmtId="0" fontId="19" fillId="0" borderId="0" xfId="0" applyFont="1" applyAlignment="1">
      <alignment horizontal="left" vertical="center"/>
    </xf>
    <xf numFmtId="0" fontId="24" fillId="0" borderId="39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1" fillId="17" borderId="9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21" fillId="17" borderId="21" xfId="0" applyFont="1" applyFill="1" applyBorder="1" applyAlignment="1">
      <alignment horizontal="center" vertical="center"/>
    </xf>
    <xf numFmtId="0" fontId="21" fillId="17" borderId="10" xfId="0" applyFont="1" applyFill="1" applyBorder="1" applyAlignment="1">
      <alignment horizontal="center" vertical="center"/>
    </xf>
    <xf numFmtId="0" fontId="21" fillId="7" borderId="13" xfId="0" applyFont="1" applyFill="1" applyBorder="1" applyAlignment="1">
      <alignment horizontal="center" vertical="center"/>
    </xf>
    <xf numFmtId="0" fontId="21" fillId="17" borderId="23" xfId="0" applyFont="1" applyFill="1" applyBorder="1" applyAlignment="1">
      <alignment horizontal="center" vertical="center"/>
    </xf>
    <xf numFmtId="0" fontId="21" fillId="17" borderId="11" xfId="0" applyFont="1" applyFill="1" applyBorder="1" applyAlignment="1">
      <alignment horizontal="center" vertical="center"/>
    </xf>
    <xf numFmtId="0" fontId="21" fillId="7" borderId="14" xfId="0" applyFont="1" applyFill="1" applyBorder="1" applyAlignment="1">
      <alignment horizontal="center" vertical="center"/>
    </xf>
    <xf numFmtId="0" fontId="21" fillId="17" borderId="25" xfId="0" applyFont="1" applyFill="1" applyBorder="1" applyAlignment="1">
      <alignment horizontal="center" vertical="center"/>
    </xf>
    <xf numFmtId="0" fontId="21" fillId="7" borderId="26" xfId="0" applyFont="1" applyFill="1" applyBorder="1" applyAlignment="1">
      <alignment horizontal="center" vertical="center"/>
    </xf>
    <xf numFmtId="0" fontId="21" fillId="17" borderId="7" xfId="0" applyFont="1" applyFill="1" applyBorder="1" applyAlignment="1">
      <alignment horizontal="center" vertical="center"/>
    </xf>
    <xf numFmtId="0" fontId="21" fillId="17" borderId="7" xfId="0" applyFont="1" applyFill="1" applyBorder="1" applyAlignment="1">
      <alignment horizontal="left" vertical="center"/>
    </xf>
    <xf numFmtId="0" fontId="21" fillId="17" borderId="27" xfId="0" applyFont="1" applyFill="1" applyBorder="1" applyAlignment="1">
      <alignment horizontal="left" vertical="center"/>
    </xf>
    <xf numFmtId="0" fontId="21" fillId="17" borderId="27" xfId="0" applyFont="1" applyFill="1" applyBorder="1" applyAlignment="1">
      <alignment horizontal="center" vertical="center"/>
    </xf>
    <xf numFmtId="0" fontId="21" fillId="7" borderId="28" xfId="0" applyFont="1" applyFill="1" applyBorder="1" applyAlignment="1">
      <alignment horizontal="center" vertical="center"/>
    </xf>
    <xf numFmtId="0" fontId="21" fillId="17" borderId="29" xfId="0" applyFont="1" applyFill="1" applyBorder="1" applyAlignment="1">
      <alignment horizontal="center" vertical="center"/>
    </xf>
    <xf numFmtId="0" fontId="21" fillId="17" borderId="30" xfId="0" applyFont="1" applyFill="1" applyBorder="1" applyAlignment="1">
      <alignment horizontal="center" vertical="center"/>
    </xf>
    <xf numFmtId="0" fontId="3" fillId="3" borderId="0" xfId="3" applyAlignment="1">
      <alignment horizontal="right"/>
    </xf>
    <xf numFmtId="0" fontId="19" fillId="18" borderId="45" xfId="0" applyFont="1" applyFill="1" applyBorder="1" applyAlignment="1">
      <alignment horizontal="center" vertical="center" wrapText="1"/>
    </xf>
    <xf numFmtId="0" fontId="0" fillId="7" borderId="46" xfId="0" applyFill="1" applyBorder="1"/>
    <xf numFmtId="166" fontId="5" fillId="5" borderId="1" xfId="5" applyNumberFormat="1" applyAlignment="1">
      <alignment horizontal="right"/>
    </xf>
    <xf numFmtId="1" fontId="5" fillId="5" borderId="1" xfId="5" applyNumberFormat="1" applyAlignment="1">
      <alignment horizontal="right"/>
    </xf>
    <xf numFmtId="0" fontId="0" fillId="0" borderId="0" xfId="0" applyFont="1"/>
    <xf numFmtId="3" fontId="8" fillId="6" borderId="1" xfId="7" applyNumberFormat="1" applyFont="1"/>
    <xf numFmtId="2" fontId="10" fillId="0" borderId="0" xfId="8" applyNumberFormat="1"/>
    <xf numFmtId="0" fontId="0" fillId="0" borderId="0" xfId="0" applyFont="1" applyFill="1" applyBorder="1"/>
    <xf numFmtId="0" fontId="27" fillId="0" borderId="0" xfId="0" applyFont="1" applyAlignment="1">
      <alignment horizontal="right"/>
    </xf>
    <xf numFmtId="0" fontId="10" fillId="0" borderId="0" xfId="8" applyFill="1" applyBorder="1"/>
    <xf numFmtId="0" fontId="9" fillId="19" borderId="0" xfId="0" applyFont="1" applyFill="1" applyAlignment="1">
      <alignment horizontal="right"/>
    </xf>
    <xf numFmtId="2" fontId="7" fillId="6" borderId="1" xfId="7" applyNumberFormat="1"/>
    <xf numFmtId="1" fontId="7" fillId="6" borderId="47" xfId="7" applyNumberFormat="1" applyBorder="1"/>
    <xf numFmtId="1" fontId="0" fillId="0" borderId="0" xfId="0" applyNumberFormat="1" applyAlignment="1"/>
    <xf numFmtId="165" fontId="0" fillId="0" borderId="0" xfId="0" applyNumberFormat="1" applyAlignment="1"/>
    <xf numFmtId="2" fontId="0" fillId="0" borderId="0" xfId="0" applyNumberFormat="1" applyAlignment="1"/>
    <xf numFmtId="3" fontId="8" fillId="6" borderId="50" xfId="7" applyNumberFormat="1" applyFont="1" applyBorder="1"/>
    <xf numFmtId="3" fontId="8" fillId="6" borderId="51" xfId="7" applyNumberFormat="1" applyFont="1" applyBorder="1"/>
    <xf numFmtId="1" fontId="6" fillId="6" borderId="63" xfId="6" applyNumberFormat="1" applyBorder="1" applyAlignment="1">
      <alignment horizontal="right"/>
    </xf>
    <xf numFmtId="1" fontId="6" fillId="6" borderId="64" xfId="6" applyNumberFormat="1" applyBorder="1" applyAlignment="1">
      <alignment horizontal="right"/>
    </xf>
    <xf numFmtId="1" fontId="6" fillId="6" borderId="65" xfId="6" applyNumberFormat="1" applyBorder="1" applyAlignment="1">
      <alignment horizontal="right"/>
    </xf>
    <xf numFmtId="1" fontId="6" fillId="6" borderId="66" xfId="6" applyNumberFormat="1" applyBorder="1" applyAlignment="1">
      <alignment horizontal="right"/>
    </xf>
    <xf numFmtId="1" fontId="6" fillId="6" borderId="67" xfId="6" applyNumberFormat="1" applyBorder="1" applyAlignment="1">
      <alignment horizontal="right"/>
    </xf>
    <xf numFmtId="1" fontId="6" fillId="6" borderId="68" xfId="6" applyNumberFormat="1" applyBorder="1" applyAlignment="1">
      <alignment horizontal="right"/>
    </xf>
    <xf numFmtId="3" fontId="0" fillId="0" borderId="0" xfId="0" applyNumberFormat="1"/>
    <xf numFmtId="169" fontId="0" fillId="0" borderId="0" xfId="1" applyNumberFormat="1" applyFont="1"/>
    <xf numFmtId="1" fontId="0" fillId="0" borderId="0" xfId="1" applyNumberFormat="1" applyFont="1"/>
    <xf numFmtId="0" fontId="10" fillId="0" borderId="0" xfId="8" applyFill="1" applyBorder="1" applyAlignment="1"/>
    <xf numFmtId="169" fontId="29" fillId="0" borderId="0" xfId="0" applyNumberFormat="1" applyFont="1"/>
    <xf numFmtId="169" fontId="9" fillId="0" borderId="72" xfId="0" applyNumberFormat="1" applyFont="1" applyBorder="1"/>
    <xf numFmtId="0" fontId="11" fillId="0" borderId="57" xfId="0" applyFont="1" applyBorder="1"/>
    <xf numFmtId="0" fontId="11" fillId="0" borderId="58" xfId="0" applyFont="1" applyBorder="1"/>
    <xf numFmtId="1" fontId="11" fillId="0" borderId="73" xfId="0" applyNumberFormat="1" applyFont="1" applyBorder="1"/>
    <xf numFmtId="1" fontId="11" fillId="0" borderId="55" xfId="0" applyNumberFormat="1" applyFont="1" applyBorder="1"/>
    <xf numFmtId="1" fontId="11" fillId="0" borderId="74" xfId="0" applyNumberFormat="1" applyFont="1" applyBorder="1"/>
    <xf numFmtId="1" fontId="11" fillId="0" borderId="75" xfId="0" applyNumberFormat="1" applyFont="1" applyBorder="1"/>
    <xf numFmtId="1" fontId="11" fillId="0" borderId="76" xfId="0" applyNumberFormat="1" applyFont="1" applyBorder="1"/>
    <xf numFmtId="1" fontId="11" fillId="0" borderId="72" xfId="0" applyNumberFormat="1" applyFont="1" applyBorder="1"/>
    <xf numFmtId="169" fontId="0" fillId="0" borderId="71" xfId="1" applyNumberFormat="1" applyFont="1" applyBorder="1"/>
    <xf numFmtId="169" fontId="0" fillId="8" borderId="71" xfId="1" applyNumberFormat="1" applyFont="1" applyFill="1" applyBorder="1"/>
    <xf numFmtId="169" fontId="0" fillId="0" borderId="78" xfId="1" applyNumberFormat="1" applyFont="1" applyBorder="1"/>
    <xf numFmtId="169" fontId="0" fillId="0" borderId="79" xfId="1" applyNumberFormat="1" applyFont="1" applyBorder="1"/>
    <xf numFmtId="169" fontId="0" fillId="0" borderId="80" xfId="1" applyNumberFormat="1" applyFont="1" applyBorder="1"/>
    <xf numFmtId="169" fontId="0" fillId="0" borderId="81" xfId="1" applyNumberFormat="1" applyFont="1" applyBorder="1"/>
    <xf numFmtId="169" fontId="0" fillId="0" borderId="82" xfId="1" applyNumberFormat="1" applyFont="1" applyBorder="1"/>
    <xf numFmtId="169" fontId="0" fillId="0" borderId="83" xfId="1" applyNumberFormat="1" applyFont="1" applyBorder="1"/>
    <xf numFmtId="169" fontId="0" fillId="0" borderId="84" xfId="1" applyNumberFormat="1" applyFont="1" applyBorder="1"/>
    <xf numFmtId="169" fontId="0" fillId="0" borderId="85" xfId="1" applyNumberFormat="1" applyFont="1" applyBorder="1"/>
    <xf numFmtId="169" fontId="0" fillId="0" borderId="86" xfId="1" applyNumberFormat="1" applyFont="1" applyBorder="1"/>
    <xf numFmtId="169" fontId="0" fillId="0" borderId="87" xfId="1" applyNumberFormat="1" applyFont="1" applyBorder="1"/>
    <xf numFmtId="169" fontId="0" fillId="0" borderId="88" xfId="1" applyNumberFormat="1" applyFont="1" applyBorder="1"/>
    <xf numFmtId="169" fontId="0" fillId="8" borderId="79" xfId="1" applyNumberFormat="1" applyFont="1" applyFill="1" applyBorder="1"/>
    <xf numFmtId="0" fontId="11" fillId="0" borderId="72" xfId="0" applyFont="1" applyBorder="1"/>
    <xf numFmtId="4" fontId="8" fillId="6" borderId="1" xfId="7" applyNumberFormat="1" applyFont="1" applyBorder="1"/>
    <xf numFmtId="4" fontId="8" fillId="6" borderId="61" xfId="7" applyNumberFormat="1" applyFont="1" applyBorder="1"/>
    <xf numFmtId="4" fontId="10" fillId="0" borderId="57" xfId="8" applyNumberFormat="1" applyBorder="1"/>
    <xf numFmtId="4" fontId="10" fillId="0" borderId="0" xfId="8" applyNumberFormat="1" applyBorder="1"/>
    <xf numFmtId="4" fontId="10" fillId="0" borderId="56" xfId="8" applyNumberFormat="1" applyBorder="1"/>
    <xf numFmtId="4" fontId="8" fillId="6" borderId="52" xfId="7" applyNumberFormat="1" applyFont="1" applyBorder="1"/>
    <xf numFmtId="4" fontId="8" fillId="6" borderId="62" xfId="7" applyNumberFormat="1" applyFont="1" applyBorder="1"/>
    <xf numFmtId="4" fontId="10" fillId="0" borderId="58" xfId="8" applyNumberFormat="1" applyBorder="1"/>
    <xf numFmtId="4" fontId="10" fillId="0" borderId="59" xfId="8" applyNumberFormat="1" applyBorder="1"/>
    <xf numFmtId="4" fontId="10" fillId="0" borderId="60" xfId="8" applyNumberFormat="1" applyBorder="1"/>
    <xf numFmtId="170" fontId="8" fillId="6" borderId="1" xfId="7" applyNumberFormat="1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166" fontId="10" fillId="0" borderId="0" xfId="8" applyNumberFormat="1" applyAlignment="1">
      <alignment horizontal="center"/>
    </xf>
    <xf numFmtId="0" fontId="15" fillId="0" borderId="6" xfId="0" applyFont="1" applyBorder="1" applyAlignment="1">
      <alignment horizontal="center"/>
    </xf>
    <xf numFmtId="0" fontId="22" fillId="7" borderId="15" xfId="0" applyFont="1" applyFill="1" applyBorder="1" applyAlignment="1">
      <alignment horizontal="center" vertical="center"/>
    </xf>
    <xf numFmtId="0" fontId="22" fillId="7" borderId="16" xfId="0" applyFont="1" applyFill="1" applyBorder="1" applyAlignment="1">
      <alignment horizontal="center" vertical="center"/>
    </xf>
    <xf numFmtId="0" fontId="22" fillId="7" borderId="17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19" borderId="0" xfId="0" applyFont="1" applyFill="1" applyAlignment="1">
      <alignment horizontal="center" vertical="top" wrapText="1"/>
    </xf>
    <xf numFmtId="0" fontId="21" fillId="7" borderId="18" xfId="0" applyFont="1" applyFill="1" applyBorder="1" applyAlignment="1">
      <alignment horizontal="center" vertical="center"/>
    </xf>
    <xf numFmtId="0" fontId="21" fillId="7" borderId="8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/>
    </xf>
    <xf numFmtId="0" fontId="21" fillId="7" borderId="20" xfId="0" applyFont="1" applyFill="1" applyBorder="1" applyAlignment="1">
      <alignment horizontal="center" vertical="center"/>
    </xf>
    <xf numFmtId="0" fontId="21" fillId="7" borderId="22" xfId="0" applyFont="1" applyFill="1" applyBorder="1" applyAlignment="1">
      <alignment horizontal="center" vertical="center"/>
    </xf>
    <xf numFmtId="0" fontId="21" fillId="7" borderId="24" xfId="0" applyFont="1" applyFill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13" fillId="0" borderId="44" xfId="9" applyBorder="1" applyAlignment="1">
      <alignment horizontal="center" vertical="center"/>
    </xf>
    <xf numFmtId="0" fontId="13" fillId="0" borderId="0" xfId="9" applyBorder="1" applyAlignment="1">
      <alignment horizontal="center" vertical="center"/>
    </xf>
    <xf numFmtId="0" fontId="0" fillId="0" borderId="74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166" fontId="11" fillId="0" borderId="69" xfId="0" applyNumberFormat="1" applyFont="1" applyBorder="1" applyAlignment="1">
      <alignment horizontal="center" vertical="center" textRotation="90"/>
    </xf>
    <xf numFmtId="166" fontId="11" fillId="0" borderId="77" xfId="0" applyNumberFormat="1" applyFont="1" applyBorder="1" applyAlignment="1">
      <alignment horizontal="center" vertical="center" textRotation="90"/>
    </xf>
    <xf numFmtId="166" fontId="11" fillId="0" borderId="70" xfId="0" applyNumberFormat="1" applyFont="1" applyBorder="1" applyAlignment="1">
      <alignment horizontal="center" vertical="center" textRotation="90"/>
    </xf>
    <xf numFmtId="166" fontId="0" fillId="0" borderId="74" xfId="0" applyNumberFormat="1" applyBorder="1" applyAlignment="1">
      <alignment horizontal="center"/>
    </xf>
    <xf numFmtId="166" fontId="0" fillId="0" borderId="75" xfId="0" applyNumberFormat="1" applyBorder="1" applyAlignment="1">
      <alignment horizontal="center"/>
    </xf>
    <xf numFmtId="166" fontId="0" fillId="0" borderId="76" xfId="0" applyNumberFormat="1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/>
    </xf>
    <xf numFmtId="0" fontId="11" fillId="0" borderId="69" xfId="0" applyFont="1" applyBorder="1" applyAlignment="1">
      <alignment horizontal="center" textRotation="90"/>
    </xf>
    <xf numFmtId="0" fontId="11" fillId="0" borderId="77" xfId="0" applyFont="1" applyBorder="1" applyAlignment="1">
      <alignment horizontal="center" textRotation="90"/>
    </xf>
    <xf numFmtId="0" fontId="11" fillId="0" borderId="70" xfId="0" applyFont="1" applyBorder="1" applyAlignment="1">
      <alignment horizontal="center" textRotation="90"/>
    </xf>
    <xf numFmtId="0" fontId="11" fillId="0" borderId="74" xfId="0" applyFont="1" applyBorder="1" applyAlignment="1">
      <alignment horizontal="center"/>
    </xf>
    <xf numFmtId="0" fontId="11" fillId="0" borderId="75" xfId="0" applyFont="1" applyBorder="1" applyAlignment="1">
      <alignment horizontal="center"/>
    </xf>
    <xf numFmtId="0" fontId="11" fillId="0" borderId="76" xfId="0" applyFont="1" applyBorder="1" applyAlignment="1">
      <alignment horizontal="center"/>
    </xf>
    <xf numFmtId="1" fontId="6" fillId="6" borderId="48" xfId="6" applyNumberFormat="1" applyBorder="1" applyAlignment="1">
      <alignment horizontal="center"/>
    </xf>
    <xf numFmtId="1" fontId="6" fillId="6" borderId="49" xfId="6" applyNumberFormat="1" applyBorder="1" applyAlignment="1">
      <alignment horizontal="center"/>
    </xf>
    <xf numFmtId="1" fontId="6" fillId="6" borderId="53" xfId="6" applyNumberFormat="1" applyBorder="1" applyAlignment="1">
      <alignment horizontal="center"/>
    </xf>
    <xf numFmtId="1" fontId="6" fillId="6" borderId="54" xfId="6" applyNumberFormat="1" applyBorder="1" applyAlignment="1">
      <alignment horizontal="center"/>
    </xf>
    <xf numFmtId="1" fontId="6" fillId="6" borderId="55" xfId="6" applyNumberFormat="1" applyBorder="1" applyAlignment="1">
      <alignment horizontal="center"/>
    </xf>
    <xf numFmtId="1" fontId="6" fillId="6" borderId="69" xfId="6" applyNumberFormat="1" applyBorder="1" applyAlignment="1">
      <alignment horizontal="center" vertical="center" wrapText="1"/>
    </xf>
    <xf numFmtId="1" fontId="6" fillId="6" borderId="70" xfId="6" applyNumberFormat="1" applyBorder="1" applyAlignment="1">
      <alignment horizontal="center" vertical="center" wrapText="1"/>
    </xf>
    <xf numFmtId="0" fontId="10" fillId="0" borderId="0" xfId="8" applyFill="1" applyBorder="1" applyAlignment="1">
      <alignment horizontal="center"/>
    </xf>
  </cellXfs>
  <cellStyles count="10">
    <cellStyle name="Bad" xfId="3" builtinId="27"/>
    <cellStyle name="Calculation" xfId="7" builtinId="22"/>
    <cellStyle name="Explanatory Text" xfId="8" builtinId="53"/>
    <cellStyle name="Good" xfId="2" builtinId="26"/>
    <cellStyle name="Hyperlink" xfId="9" builtinId="8"/>
    <cellStyle name="Input" xfId="5" builtinId="20"/>
    <cellStyle name="Neutral" xfId="4" builtinId="28"/>
    <cellStyle name="Normal" xfId="0" builtinId="0"/>
    <cellStyle name="Output" xfId="6" builtinId="21"/>
    <cellStyle name="Percent" xfId="1" builtinId="5"/>
  </cellStyles>
  <dxfs count="2">
    <dxf>
      <font>
        <b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219075</xdr:colOff>
      <xdr:row>1</xdr:row>
      <xdr:rowOff>9525</xdr:rowOff>
    </xdr:from>
    <xdr:ext cx="8580953" cy="3647619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200025"/>
          <a:ext cx="8580953" cy="3647619"/>
        </a:xfrm>
        <a:prstGeom prst="rect">
          <a:avLst/>
        </a:prstGeom>
      </xdr:spPr>
    </xdr:pic>
    <xdr:clientData/>
  </xdr:oneCellAnchor>
  <xdr:twoCellAnchor editAs="oneCell">
    <xdr:from>
      <xdr:col>10</xdr:col>
      <xdr:colOff>190500</xdr:colOff>
      <xdr:row>21</xdr:row>
      <xdr:rowOff>38100</xdr:rowOff>
    </xdr:from>
    <xdr:to>
      <xdr:col>12</xdr:col>
      <xdr:colOff>152400</xdr:colOff>
      <xdr:row>22</xdr:row>
      <xdr:rowOff>133350</xdr:rowOff>
    </xdr:to>
    <xdr:pic>
      <xdr:nvPicPr>
        <xdr:cNvPr id="3" name="Picture 2" descr="Equation 2.5.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91350" y="3686175"/>
          <a:ext cx="11811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304800</xdr:colOff>
      <xdr:row>22</xdr:row>
      <xdr:rowOff>133350</xdr:rowOff>
    </xdr:from>
    <xdr:to>
      <xdr:col>18</xdr:col>
      <xdr:colOff>438150</xdr:colOff>
      <xdr:row>30</xdr:row>
      <xdr:rowOff>561975</xdr:rowOff>
    </xdr:to>
    <xdr:pic>
      <xdr:nvPicPr>
        <xdr:cNvPr id="4" name="Picture 3" descr="Fig. 2.9.1 - Typical overall heat transfer coefficients - from flat steel surfaces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05650" y="3971925"/>
          <a:ext cx="5010150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186416</xdr:colOff>
      <xdr:row>23</xdr:row>
      <xdr:rowOff>97972</xdr:rowOff>
    </xdr:from>
    <xdr:to>
      <xdr:col>30</xdr:col>
      <xdr:colOff>90417</xdr:colOff>
      <xdr:row>37</xdr:row>
      <xdr:rowOff>192819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41059" y="4506686"/>
          <a:ext cx="6027215" cy="3251704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40</xdr:row>
      <xdr:rowOff>190500</xdr:rowOff>
    </xdr:from>
    <xdr:to>
      <xdr:col>29</xdr:col>
      <xdr:colOff>313600</xdr:colOff>
      <xdr:row>51</xdr:row>
      <xdr:rowOff>132951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201650" y="8334375"/>
          <a:ext cx="5800000" cy="319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238125</xdr:colOff>
      <xdr:row>39</xdr:row>
      <xdr:rowOff>19050</xdr:rowOff>
    </xdr:from>
    <xdr:ext cx="2838095" cy="31619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25" y="8143875"/>
          <a:ext cx="2838095" cy="3161905"/>
        </a:xfrm>
        <a:prstGeom prst="rect">
          <a:avLst/>
        </a:prstGeom>
      </xdr:spPr>
    </xdr:pic>
    <xdr:clientData/>
  </xdr:oneCellAnchor>
  <xdr:oneCellAnchor>
    <xdr:from>
      <xdr:col>14</xdr:col>
      <xdr:colOff>419100</xdr:colOff>
      <xdr:row>39</xdr:row>
      <xdr:rowOff>28575</xdr:rowOff>
    </xdr:from>
    <xdr:ext cx="3047619" cy="2876191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72575" y="8401050"/>
          <a:ext cx="3047619" cy="28761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bre.co.uk/filelibrary/pdf/rpts/BR_443_(2006_Edition).pdf" TargetMode="External"/><Relationship Id="rId7" Type="http://schemas.openxmlformats.org/officeDocument/2006/relationships/hyperlink" Target="https://law.resource.org/pub/za/ibr/za.sans.151.2010.pdf" TargetMode="External"/><Relationship Id="rId2" Type="http://schemas.openxmlformats.org/officeDocument/2006/relationships/hyperlink" Target="http://www.spiraxsarco.com/resources/steam-engineering-tutorials/steam-engineering-principles-and-heat-transfer/energy-consumption-of-tanks-and-vats.asp" TargetMode="External"/><Relationship Id="rId1" Type="http://schemas.openxmlformats.org/officeDocument/2006/relationships/hyperlink" Target="http://www.energy.gov.za/EEE/Projects/EnergyEfficiencyStandardsAndLabellingForHouseholdAppliances/Status-on-enablingStandards-SANS%20941-and-SANS-151.pdf" TargetMode="External"/><Relationship Id="rId6" Type="http://schemas.openxmlformats.org/officeDocument/2006/relationships/hyperlink" Target="http://www.engineeringtoolbox.com/overall-heat-transfer-coefficient-d_434.html" TargetMode="External"/><Relationship Id="rId5" Type="http://schemas.openxmlformats.org/officeDocument/2006/relationships/hyperlink" Target="http://www.engineeringtoolbox.com/overall-heat-transfer-coefficients-d_284.html" TargetMode="External"/><Relationship Id="rId4" Type="http://schemas.openxmlformats.org/officeDocument/2006/relationships/hyperlink" Target="http://www.thermguard.co.za/technical-info/" TargetMode="External"/><Relationship Id="rId9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askville.amazon.com/gallons-water-average-10-minute-shower/AnswerViewer.do?requestId=2548818" TargetMode="External"/><Relationship Id="rId3" Type="http://schemas.openxmlformats.org/officeDocument/2006/relationships/hyperlink" Target="http://www.geysers.co.za/geysers.htm" TargetMode="External"/><Relationship Id="rId7" Type="http://schemas.openxmlformats.org/officeDocument/2006/relationships/hyperlink" Target="http://wiki.answers.com/Q/How_many_gallons_of_water_per_minute_does_the_average_shower_use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://www.geysers.co.za/geyser_maintenance.htm" TargetMode="External"/><Relationship Id="rId1" Type="http://schemas.openxmlformats.org/officeDocument/2006/relationships/hyperlink" Target="http://www.pow-a-mate.co.za/FAQ.html" TargetMode="External"/><Relationship Id="rId6" Type="http://schemas.openxmlformats.org/officeDocument/2006/relationships/hyperlink" Target="http://fi.edu/guide/schutte/howmuch.html" TargetMode="External"/><Relationship Id="rId11" Type="http://schemas.openxmlformats.org/officeDocument/2006/relationships/hyperlink" Target="http://www.geysers.co.za/geysers.htm" TargetMode="External"/><Relationship Id="rId5" Type="http://schemas.openxmlformats.org/officeDocument/2006/relationships/hyperlink" Target="http://active.cput.ac.za/energy/past_papers/DUE/1995/PDF/26%20Uken%20EA.pdf" TargetMode="External"/><Relationship Id="rId10" Type="http://schemas.openxmlformats.org/officeDocument/2006/relationships/hyperlink" Target="http://www.energy.gov.za/EEE/Projects/EnergyEfficiencyStandardsAndLabellingForHouseholdAppliances/Status-on-enablingStandards-SANS%20941-and-SANS-151.pdf" TargetMode="External"/><Relationship Id="rId4" Type="http://schemas.openxmlformats.org/officeDocument/2006/relationships/hyperlink" Target="http://timetable.cput.ac.za/_other_web_files/_cue/DUE/1998/PDF/46%20Breakspear%20D.pdf" TargetMode="External"/><Relationship Id="rId9" Type="http://schemas.openxmlformats.org/officeDocument/2006/relationships/hyperlink" Target="http://ec.europa.eu/energy/intelligent/files/faqs/06_energy_labelling_water_heater-c_2013_8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66"/>
  <sheetViews>
    <sheetView tabSelected="1" zoomScale="70" zoomScaleNormal="70" workbookViewId="0">
      <selection activeCell="H25" sqref="H25"/>
    </sheetView>
  </sheetViews>
  <sheetFormatPr defaultRowHeight="15" x14ac:dyDescent="0.25"/>
  <cols>
    <col min="1" max="1" width="3.5703125" customWidth="1"/>
    <col min="2" max="2" width="16.140625" customWidth="1"/>
    <col min="3" max="3" width="12.7109375" customWidth="1"/>
    <col min="4" max="5" width="7.5703125" customWidth="1"/>
    <col min="6" max="6" width="11.140625" bestFit="1" customWidth="1"/>
    <col min="7" max="7" width="11.7109375" customWidth="1"/>
  </cols>
  <sheetData>
    <row r="1" spans="2:13" x14ac:dyDescent="0.25">
      <c r="B1" s="145" t="s">
        <v>148</v>
      </c>
      <c r="C1" s="145"/>
      <c r="F1" s="140" t="s">
        <v>120</v>
      </c>
      <c r="G1" s="140"/>
      <c r="L1" s="1" t="s">
        <v>44</v>
      </c>
    </row>
    <row r="2" spans="2:13" x14ac:dyDescent="0.25">
      <c r="B2" s="31" t="s">
        <v>41</v>
      </c>
      <c r="C2" s="10">
        <f>Annual!B5</f>
        <v>50</v>
      </c>
      <c r="D2" t="s">
        <v>0</v>
      </c>
      <c r="F2" s="40">
        <f>HLOOKUP(C2,G9:L9,1,TRUE)</f>
        <v>50</v>
      </c>
      <c r="G2" s="39" t="s">
        <v>121</v>
      </c>
      <c r="K2" s="40">
        <f>F6*C5*F3</f>
        <v>812.80793098148865</v>
      </c>
      <c r="L2" s="42" t="s">
        <v>146</v>
      </c>
    </row>
    <row r="3" spans="2:13" x14ac:dyDescent="0.25">
      <c r="B3" s="31" t="s">
        <v>42</v>
      </c>
      <c r="C3" s="23" t="str">
        <f>Annual!B6</f>
        <v>F</v>
      </c>
      <c r="F3" s="38">
        <f>C2/1000*F10</f>
        <v>1.5984423421464868</v>
      </c>
      <c r="G3" s="39" t="s">
        <v>122</v>
      </c>
      <c r="K3" s="40">
        <f>C4</f>
        <v>100.99151948408482</v>
      </c>
      <c r="L3" s="42" t="s">
        <v>149</v>
      </c>
    </row>
    <row r="4" spans="2:13" x14ac:dyDescent="0.25">
      <c r="B4" s="31" t="s">
        <v>43</v>
      </c>
      <c r="C4" s="24">
        <f>VLOOKUP(C3,$B$11:$F$17,5,0)</f>
        <v>100.99151948408482</v>
      </c>
      <c r="D4" t="s">
        <v>45</v>
      </c>
      <c r="F4" s="39">
        <f>C4/(F3*C5)</f>
        <v>1.4040268637538049</v>
      </c>
      <c r="G4" s="42" t="s">
        <v>150</v>
      </c>
      <c r="I4" s="42">
        <f>1/F4</f>
        <v>0.71223708450022172</v>
      </c>
      <c r="J4" s="42"/>
      <c r="K4" s="44"/>
    </row>
    <row r="5" spans="2:13" x14ac:dyDescent="0.25">
      <c r="B5" s="31" t="s">
        <v>86</v>
      </c>
      <c r="C5" s="11">
        <f>65-20</f>
        <v>45</v>
      </c>
      <c r="D5" t="s">
        <v>87</v>
      </c>
      <c r="I5" s="42">
        <f>1/F6</f>
        <v>8.8495575221238937E-2</v>
      </c>
      <c r="J5" s="42"/>
      <c r="K5" s="44"/>
    </row>
    <row r="6" spans="2:13" x14ac:dyDescent="0.25">
      <c r="B6" s="31" t="s">
        <v>143</v>
      </c>
      <c r="C6" s="73" t="s">
        <v>144</v>
      </c>
      <c r="F6" s="39">
        <f>VLOOKUP(C6,$C$33:$G$35,5,0)</f>
        <v>11.3</v>
      </c>
      <c r="G6" s="42" t="s">
        <v>145</v>
      </c>
      <c r="I6" s="42">
        <f>I4/I5</f>
        <v>8.0482790548525056</v>
      </c>
      <c r="J6" s="42"/>
    </row>
    <row r="7" spans="2:13" x14ac:dyDescent="0.25">
      <c r="B7" s="31" t="s">
        <v>147</v>
      </c>
      <c r="C7" s="73">
        <f>C27</f>
        <v>3.7999999999999999E-2</v>
      </c>
      <c r="D7" t="s">
        <v>119</v>
      </c>
      <c r="F7" s="38">
        <f>F4/F6</f>
        <v>0.12425016493396503</v>
      </c>
      <c r="G7" s="42" t="s">
        <v>171</v>
      </c>
      <c r="J7" s="42"/>
    </row>
    <row r="8" spans="2:13" ht="17.25" x14ac:dyDescent="0.25">
      <c r="B8" t="s">
        <v>38</v>
      </c>
      <c r="G8" s="141" t="s">
        <v>46</v>
      </c>
      <c r="H8" s="141"/>
      <c r="I8" s="141"/>
      <c r="J8" s="141"/>
      <c r="K8" s="141"/>
      <c r="L8" s="141"/>
      <c r="M8" s="141"/>
    </row>
    <row r="9" spans="2:13" x14ac:dyDescent="0.25">
      <c r="B9" t="s">
        <v>32</v>
      </c>
      <c r="C9" s="138" t="s">
        <v>39</v>
      </c>
      <c r="D9" s="138"/>
      <c r="E9" s="139"/>
      <c r="F9" s="22">
        <f>C2</f>
        <v>50</v>
      </c>
      <c r="G9" s="25">
        <f>Sources!M29</f>
        <v>25</v>
      </c>
      <c r="H9" s="25">
        <f>Sources!M30</f>
        <v>50</v>
      </c>
      <c r="I9" s="25">
        <f>Sources!M31</f>
        <v>75</v>
      </c>
      <c r="J9" s="25">
        <f>Sources!$M32</f>
        <v>100</v>
      </c>
      <c r="K9" s="25">
        <f>Sources!$M33</f>
        <v>150</v>
      </c>
      <c r="L9" s="25">
        <f>Sources!$M34</f>
        <v>200</v>
      </c>
      <c r="M9" s="25">
        <f>Sources!$M35</f>
        <v>250</v>
      </c>
    </row>
    <row r="10" spans="2:13" x14ac:dyDescent="0.25">
      <c r="C10" s="7"/>
      <c r="D10" s="7"/>
      <c r="E10" s="33"/>
      <c r="F10" s="39">
        <f>HLOOKUP(F2,G9:L10,2,0)</f>
        <v>31.968846842929736</v>
      </c>
      <c r="G10" s="39">
        <f>VLOOKUP(G9,Sources!$M$29:$W$35,11,0)</f>
        <v>50.667606317096187</v>
      </c>
      <c r="H10" s="39">
        <f>VLOOKUP(H9,Sources!$M$29:$W$35,11,0)</f>
        <v>31.968846842929736</v>
      </c>
      <c r="I10" s="39">
        <f>VLOOKUP(I9,Sources!$M$29:$W$35,11,0)</f>
        <v>25.099230907080056</v>
      </c>
      <c r="J10" s="39">
        <f>VLOOKUP(J9,Sources!$M$29:$W$35,11,0)</f>
        <v>21.287431820724443</v>
      </c>
      <c r="K10" s="39">
        <f>VLOOKUP(K9,Sources!$M$29:$W$35,11,0)</f>
        <v>17.12377435716677</v>
      </c>
      <c r="L10" s="39">
        <f>VLOOKUP(L9,Sources!$M$29:$W$35,11,0)</f>
        <v>15.485891937248338</v>
      </c>
      <c r="M10" s="39">
        <f>VLOOKUP(M9,Sources!$M$29:$W$35,11,0)</f>
        <v>13.642209018580999</v>
      </c>
    </row>
    <row r="11" spans="2:13" x14ac:dyDescent="0.25">
      <c r="B11" s="13" t="s">
        <v>20</v>
      </c>
      <c r="C11" s="20" t="s">
        <v>25</v>
      </c>
      <c r="D11" s="20" t="s">
        <v>27</v>
      </c>
      <c r="E11" s="20" t="s">
        <v>40</v>
      </c>
      <c r="F11" s="8">
        <f t="shared" ref="F11:M11" si="0">$C12+$D12*F$9^$E12</f>
        <v>24.892131995632774</v>
      </c>
      <c r="G11" s="8">
        <f t="shared" si="0"/>
        <v>20.075417004496067</v>
      </c>
      <c r="H11" s="8">
        <f t="shared" si="0"/>
        <v>24.892131995632774</v>
      </c>
      <c r="I11" s="8">
        <f t="shared" si="0"/>
        <v>28.39471915335557</v>
      </c>
      <c r="J11" s="8">
        <f t="shared" si="0"/>
        <v>31.247825530376048</v>
      </c>
      <c r="K11" s="8">
        <f>$C12+$D12*K$9^$E12</f>
        <v>35.869516993162833</v>
      </c>
      <c r="L11" s="8">
        <f t="shared" si="0"/>
        <v>39.634213427917928</v>
      </c>
      <c r="M11" s="8">
        <f t="shared" si="0"/>
        <v>42.867735422942474</v>
      </c>
    </row>
    <row r="12" spans="2:13" x14ac:dyDescent="0.25">
      <c r="B12" s="14" t="s">
        <v>21</v>
      </c>
      <c r="C12" s="9">
        <v>5</v>
      </c>
      <c r="D12" s="9">
        <v>4.16</v>
      </c>
      <c r="E12" s="9">
        <v>0.4</v>
      </c>
      <c r="F12" s="8">
        <f t="shared" ref="F12:M16" si="1">AVERAGE($C13+$D13*F$9^$E13,$C12+$D12*F$9^$E12)</f>
        <v>32.889073807035714</v>
      </c>
      <c r="G12" s="8">
        <f t="shared" si="1"/>
        <v>26.862390747212029</v>
      </c>
      <c r="H12" s="8">
        <f t="shared" si="1"/>
        <v>32.889073807035714</v>
      </c>
      <c r="I12" s="8">
        <f t="shared" si="1"/>
        <v>37.271517594523011</v>
      </c>
      <c r="J12" s="8">
        <f t="shared" si="1"/>
        <v>40.841329780194073</v>
      </c>
      <c r="K12" s="8">
        <f t="shared" si="1"/>
        <v>46.623999026301092</v>
      </c>
      <c r="L12" s="8">
        <f t="shared" si="1"/>
        <v>51.334394445267499</v>
      </c>
      <c r="M12" s="8">
        <f t="shared" si="1"/>
        <v>55.380183383753746</v>
      </c>
    </row>
    <row r="13" spans="2:13" x14ac:dyDescent="0.25">
      <c r="B13" s="15" t="s">
        <v>22</v>
      </c>
      <c r="C13" s="9">
        <v>11</v>
      </c>
      <c r="D13" s="9">
        <v>6.25</v>
      </c>
      <c r="E13" s="9">
        <v>0.4</v>
      </c>
      <c r="F13" s="8">
        <f t="shared" si="1"/>
        <v>48.689048617346856</v>
      </c>
      <c r="G13" s="8">
        <f t="shared" si="1"/>
        <v>40.248218741052007</v>
      </c>
      <c r="H13" s="8">
        <f t="shared" si="1"/>
        <v>48.689048617346856</v>
      </c>
      <c r="I13" s="8">
        <f t="shared" si="1"/>
        <v>54.826995824029346</v>
      </c>
      <c r="J13" s="8">
        <f t="shared" si="1"/>
        <v>59.826790412606101</v>
      </c>
      <c r="K13" s="8">
        <f t="shared" si="1"/>
        <v>67.925860307730048</v>
      </c>
      <c r="L13" s="8">
        <f t="shared" si="1"/>
        <v>74.52312881959655</v>
      </c>
      <c r="M13" s="8">
        <f t="shared" si="1"/>
        <v>80.189565200300635</v>
      </c>
    </row>
    <row r="14" spans="2:13" x14ac:dyDescent="0.25">
      <c r="B14" s="16" t="s">
        <v>23</v>
      </c>
      <c r="C14" s="9">
        <v>16.66</v>
      </c>
      <c r="D14" s="9">
        <v>8.33</v>
      </c>
      <c r="E14" s="9">
        <v>0.4</v>
      </c>
      <c r="F14" s="8">
        <f t="shared" si="1"/>
        <v>63.443844115205231</v>
      </c>
      <c r="G14" s="8">
        <f t="shared" si="1"/>
        <v>52.640971310564495</v>
      </c>
      <c r="H14" s="8">
        <f t="shared" si="1"/>
        <v>63.443844115205231</v>
      </c>
      <c r="I14" s="8">
        <f t="shared" si="1"/>
        <v>71.299406178078712</v>
      </c>
      <c r="J14" s="8">
        <f t="shared" si="1"/>
        <v>77.698320240002047</v>
      </c>
      <c r="K14" s="8">
        <f t="shared" si="1"/>
        <v>88.063796525531046</v>
      </c>
      <c r="L14" s="8">
        <f t="shared" si="1"/>
        <v>96.507214250594757</v>
      </c>
      <c r="M14" s="8">
        <f t="shared" si="1"/>
        <v>103.75932007116666</v>
      </c>
    </row>
    <row r="15" spans="2:13" x14ac:dyDescent="0.25">
      <c r="B15" s="17" t="s">
        <v>24</v>
      </c>
      <c r="C15" s="9">
        <v>21</v>
      </c>
      <c r="D15" s="9">
        <v>10.33</v>
      </c>
      <c r="E15" s="9">
        <v>0.4</v>
      </c>
      <c r="F15" s="8">
        <f t="shared" si="1"/>
        <v>80.857241174907472</v>
      </c>
      <c r="G15" s="8">
        <f t="shared" si="1"/>
        <v>66.968660329069792</v>
      </c>
      <c r="H15" s="8">
        <f t="shared" si="1"/>
        <v>80.857241174907472</v>
      </c>
      <c r="I15" s="8">
        <f t="shared" si="1"/>
        <v>90.956648135697122</v>
      </c>
      <c r="J15" s="8">
        <f t="shared" si="1"/>
        <v>99.183333470399191</v>
      </c>
      <c r="K15" s="8">
        <f t="shared" si="1"/>
        <v>112.50958084927599</v>
      </c>
      <c r="L15" s="8">
        <f t="shared" si="1"/>
        <v>123.36475722785468</v>
      </c>
      <c r="M15" s="8">
        <f t="shared" si="1"/>
        <v>132.68833807648917</v>
      </c>
    </row>
    <row r="16" spans="2:13" x14ac:dyDescent="0.25">
      <c r="B16" s="18" t="s">
        <v>25</v>
      </c>
      <c r="C16" s="9">
        <v>26</v>
      </c>
      <c r="D16" s="9">
        <v>13.66</v>
      </c>
      <c r="E16" s="9">
        <v>0.4</v>
      </c>
      <c r="F16" s="8">
        <f t="shared" si="1"/>
        <v>100.99151948408482</v>
      </c>
      <c r="G16" s="8">
        <f t="shared" si="1"/>
        <v>83.438298506769314</v>
      </c>
      <c r="H16" s="8">
        <f t="shared" si="1"/>
        <v>100.99151948408482</v>
      </c>
      <c r="I16" s="8">
        <f t="shared" si="1"/>
        <v>113.75575537617078</v>
      </c>
      <c r="J16" s="8">
        <f t="shared" si="1"/>
        <v>124.15313342319732</v>
      </c>
      <c r="K16" s="8">
        <f t="shared" si="1"/>
        <v>140.99564365777607</v>
      </c>
      <c r="L16" s="8">
        <f t="shared" si="1"/>
        <v>154.71506624212395</v>
      </c>
      <c r="M16" s="8">
        <f t="shared" si="1"/>
        <v>166.49876658937691</v>
      </c>
    </row>
    <row r="17" spans="2:21" x14ac:dyDescent="0.25">
      <c r="B17" s="19" t="s">
        <v>26</v>
      </c>
      <c r="C17" s="9">
        <v>31</v>
      </c>
      <c r="D17" s="9">
        <v>16.66</v>
      </c>
      <c r="E17" s="9">
        <v>0.4</v>
      </c>
      <c r="F17" s="8">
        <f t="shared" ref="F17:M17" si="2">$C17+$D17*F$9^$E17</f>
        <v>110.66416323251009</v>
      </c>
      <c r="G17" s="8">
        <f t="shared" si="2"/>
        <v>91.37414598435204</v>
      </c>
      <c r="H17" s="8">
        <f t="shared" si="2"/>
        <v>110.66416323251009</v>
      </c>
      <c r="I17" s="8">
        <f t="shared" si="2"/>
        <v>124.69135122473648</v>
      </c>
      <c r="J17" s="8">
        <f t="shared" si="2"/>
        <v>136.11749359040022</v>
      </c>
      <c r="K17" s="8">
        <f t="shared" si="2"/>
        <v>154.62647911204152</v>
      </c>
      <c r="L17" s="8">
        <f t="shared" si="2"/>
        <v>169.70336435315207</v>
      </c>
      <c r="M17" s="8">
        <f t="shared" si="2"/>
        <v>182.65299811207251</v>
      </c>
    </row>
    <row r="18" spans="2:21" x14ac:dyDescent="0.25">
      <c r="B18" s="146" t="s">
        <v>179</v>
      </c>
      <c r="F18" s="86">
        <f>HLOOKUP(F2,G9:M18,10,0)</f>
        <v>90</v>
      </c>
      <c r="G18" s="86">
        <f>(G19*1000)/24</f>
        <v>67.5</v>
      </c>
      <c r="H18" s="86">
        <f t="shared" ref="H18:M18" si="3">(H19*1000)/24</f>
        <v>90</v>
      </c>
      <c r="I18" s="86">
        <f t="shared" si="3"/>
        <v>103.33333333333333</v>
      </c>
      <c r="J18" s="86">
        <f t="shared" si="3"/>
        <v>117.08333333333333</v>
      </c>
      <c r="K18" s="86">
        <f t="shared" si="3"/>
        <v>135</v>
      </c>
      <c r="L18" s="86">
        <f t="shared" si="3"/>
        <v>152.91666666666666</v>
      </c>
      <c r="M18" s="86">
        <f t="shared" si="3"/>
        <v>170.83333333333334</v>
      </c>
    </row>
    <row r="19" spans="2:21" x14ac:dyDescent="0.25">
      <c r="B19" s="146"/>
      <c r="C19" t="s">
        <v>175</v>
      </c>
      <c r="E19" s="83">
        <v>24</v>
      </c>
      <c r="G19" s="85">
        <v>1.62</v>
      </c>
      <c r="H19" s="85">
        <v>2.16</v>
      </c>
      <c r="I19" s="85">
        <v>2.48</v>
      </c>
      <c r="J19" s="85">
        <v>2.81</v>
      </c>
      <c r="K19" s="85">
        <v>3.24</v>
      </c>
      <c r="L19" s="85">
        <v>3.67</v>
      </c>
      <c r="M19" s="85">
        <v>4.0999999999999996</v>
      </c>
    </row>
    <row r="20" spans="2:21" x14ac:dyDescent="0.25">
      <c r="B20" s="30" t="s">
        <v>71</v>
      </c>
    </row>
    <row r="21" spans="2:21" x14ac:dyDescent="0.25">
      <c r="B21" t="s">
        <v>83</v>
      </c>
      <c r="K21" s="1" t="s">
        <v>76</v>
      </c>
    </row>
    <row r="22" spans="2:21" x14ac:dyDescent="0.25">
      <c r="B22" s="7" t="s">
        <v>72</v>
      </c>
      <c r="C22" s="7" t="s">
        <v>73</v>
      </c>
      <c r="D22" s="7" t="s">
        <v>74</v>
      </c>
      <c r="F22" t="s">
        <v>80</v>
      </c>
      <c r="G22" t="s">
        <v>81</v>
      </c>
      <c r="H22" t="s">
        <v>82</v>
      </c>
      <c r="I22" s="21" t="s">
        <v>45</v>
      </c>
      <c r="N22" s="4"/>
    </row>
    <row r="23" spans="2:21" x14ac:dyDescent="0.25">
      <c r="B23">
        <v>20</v>
      </c>
      <c r="C23">
        <v>70</v>
      </c>
      <c r="D23">
        <f>C23-B23</f>
        <v>50</v>
      </c>
      <c r="F23">
        <v>15</v>
      </c>
      <c r="G23">
        <v>12</v>
      </c>
      <c r="H23">
        <v>7.5</v>
      </c>
      <c r="I23" s="41">
        <f>C4</f>
        <v>100.99151948408482</v>
      </c>
      <c r="U23" s="1" t="s">
        <v>176</v>
      </c>
    </row>
    <row r="25" spans="2:21" x14ac:dyDescent="0.25">
      <c r="B25">
        <v>25</v>
      </c>
      <c r="C25">
        <v>0.2</v>
      </c>
    </row>
    <row r="26" spans="2:21" x14ac:dyDescent="0.25">
      <c r="B26">
        <v>50</v>
      </c>
      <c r="C26">
        <v>0.1</v>
      </c>
    </row>
    <row r="27" spans="2:21" x14ac:dyDescent="0.25">
      <c r="B27" t="s">
        <v>118</v>
      </c>
      <c r="C27">
        <v>3.7999999999999999E-2</v>
      </c>
      <c r="D27" t="s">
        <v>119</v>
      </c>
    </row>
    <row r="30" spans="2:21" s="49" customFormat="1" ht="15.75" thickBot="1" x14ac:dyDescent="0.3">
      <c r="B30" s="48" t="s">
        <v>123</v>
      </c>
    </row>
    <row r="31" spans="2:21" s="49" customFormat="1" ht="45" customHeight="1" thickTop="1" thickBot="1" x14ac:dyDescent="0.3">
      <c r="B31" s="154" t="s">
        <v>124</v>
      </c>
      <c r="C31" s="156" t="s">
        <v>125</v>
      </c>
      <c r="D31" s="156" t="s">
        <v>124</v>
      </c>
      <c r="E31" s="162" t="s">
        <v>126</v>
      </c>
      <c r="F31" s="163"/>
      <c r="G31" s="163"/>
      <c r="H31" s="163"/>
    </row>
    <row r="32" spans="2:21" s="49" customFormat="1" ht="17.25" thickBot="1" x14ac:dyDescent="0.3">
      <c r="B32" s="155"/>
      <c r="C32" s="157"/>
      <c r="D32" s="157"/>
      <c r="E32" s="158" t="s">
        <v>127</v>
      </c>
      <c r="F32" s="159"/>
      <c r="G32" s="160" t="s">
        <v>128</v>
      </c>
      <c r="H32" s="161"/>
    </row>
    <row r="33" spans="2:29" s="49" customFormat="1" ht="15.75" thickBot="1" x14ac:dyDescent="0.3">
      <c r="B33" s="50" t="s">
        <v>129</v>
      </c>
      <c r="C33" s="45" t="s">
        <v>130</v>
      </c>
      <c r="D33" s="45" t="s">
        <v>131</v>
      </c>
      <c r="E33" s="45">
        <v>1.4</v>
      </c>
      <c r="G33" s="51">
        <v>7.9</v>
      </c>
    </row>
    <row r="34" spans="2:29" s="49" customFormat="1" ht="15.75" thickBot="1" x14ac:dyDescent="0.3">
      <c r="B34" s="50" t="s">
        <v>129</v>
      </c>
      <c r="C34" s="45" t="s">
        <v>132</v>
      </c>
      <c r="D34" s="45" t="s">
        <v>131</v>
      </c>
      <c r="E34" s="45">
        <v>2</v>
      </c>
      <c r="G34" s="51">
        <v>11.3</v>
      </c>
      <c r="I34" s="49">
        <f>G34*F3*C5</f>
        <v>812.80793098148865</v>
      </c>
      <c r="L34" s="52" t="s">
        <v>77</v>
      </c>
    </row>
    <row r="35" spans="2:29" s="49" customFormat="1" ht="15.75" thickBot="1" x14ac:dyDescent="0.3">
      <c r="B35" s="50" t="s">
        <v>129</v>
      </c>
      <c r="C35" s="45" t="s">
        <v>133</v>
      </c>
      <c r="D35" s="45" t="s">
        <v>131</v>
      </c>
      <c r="E35" s="45">
        <v>2.2999999999999998</v>
      </c>
      <c r="G35" s="51">
        <v>13.1</v>
      </c>
      <c r="L35" s="52" t="s">
        <v>78</v>
      </c>
    </row>
    <row r="36" spans="2:29" s="49" customFormat="1" ht="15.75" thickBot="1" x14ac:dyDescent="0.3">
      <c r="B36" s="50" t="s">
        <v>129</v>
      </c>
      <c r="C36" s="45" t="s">
        <v>130</v>
      </c>
      <c r="D36" s="45" t="s">
        <v>129</v>
      </c>
      <c r="E36" s="45" t="s">
        <v>134</v>
      </c>
      <c r="G36" s="51" t="s">
        <v>135</v>
      </c>
      <c r="L36" s="52" t="s">
        <v>79</v>
      </c>
    </row>
    <row r="37" spans="2:29" s="49" customFormat="1" ht="15.75" thickBot="1" x14ac:dyDescent="0.3">
      <c r="B37" s="50" t="s">
        <v>129</v>
      </c>
      <c r="C37" s="45" t="s">
        <v>132</v>
      </c>
      <c r="D37" s="45" t="s">
        <v>129</v>
      </c>
      <c r="E37" s="45" t="s">
        <v>136</v>
      </c>
      <c r="G37" s="51" t="s">
        <v>137</v>
      </c>
      <c r="K37" s="53" t="s">
        <v>84</v>
      </c>
    </row>
    <row r="38" spans="2:29" s="49" customFormat="1" ht="15.75" thickBot="1" x14ac:dyDescent="0.3">
      <c r="B38" s="50" t="s">
        <v>129</v>
      </c>
      <c r="C38" s="45" t="s">
        <v>133</v>
      </c>
      <c r="D38" s="45" t="s">
        <v>129</v>
      </c>
      <c r="E38" s="45" t="s">
        <v>138</v>
      </c>
      <c r="G38" s="51" t="s">
        <v>139</v>
      </c>
      <c r="K38" s="53" t="s">
        <v>85</v>
      </c>
    </row>
    <row r="39" spans="2:29" s="49" customFormat="1" ht="15.75" thickBot="1" x14ac:dyDescent="0.3">
      <c r="B39" s="50" t="s">
        <v>140</v>
      </c>
      <c r="C39" s="45" t="s">
        <v>130</v>
      </c>
      <c r="D39" s="45" t="s">
        <v>140</v>
      </c>
      <c r="E39" s="45">
        <v>1</v>
      </c>
      <c r="G39" s="51">
        <v>5.7</v>
      </c>
      <c r="K39" s="48" t="s">
        <v>88</v>
      </c>
      <c r="U39" s="49">
        <f>C4*24*60*60/1000</f>
        <v>8725.6672834249275</v>
      </c>
      <c r="X39" s="49">
        <v>45</v>
      </c>
      <c r="Y39" s="49" t="s">
        <v>178</v>
      </c>
      <c r="Z39" s="89">
        <f>W40</f>
        <v>2.4237964676180352</v>
      </c>
      <c r="AC39" s="49" t="s">
        <v>177</v>
      </c>
    </row>
    <row r="40" spans="2:29" s="49" customFormat="1" ht="15.75" thickBot="1" x14ac:dyDescent="0.3">
      <c r="B40" s="50" t="s">
        <v>140</v>
      </c>
      <c r="C40" s="45" t="s">
        <v>132</v>
      </c>
      <c r="D40" s="45" t="s">
        <v>140</v>
      </c>
      <c r="E40" s="45">
        <v>1.4</v>
      </c>
      <c r="G40" s="51">
        <v>7.9</v>
      </c>
      <c r="K40" s="49" t="s">
        <v>89</v>
      </c>
      <c r="U40" s="87">
        <f>C4</f>
        <v>100.99151948408482</v>
      </c>
      <c r="V40" s="49">
        <f>U40*24*60*60</f>
        <v>8725667.2834249269</v>
      </c>
      <c r="W40" s="49">
        <f>V40/1000/60/60</f>
        <v>2.4237964676180352</v>
      </c>
      <c r="X40" s="49">
        <v>2</v>
      </c>
      <c r="Y40" s="49">
        <v>65</v>
      </c>
      <c r="Z40" s="49" t="s">
        <v>1</v>
      </c>
      <c r="AA40" s="49">
        <v>20</v>
      </c>
      <c r="AC40" s="88">
        <f>(X39*Z39)/(X40*(Y40-AA40))</f>
        <v>1.2118982338090176</v>
      </c>
    </row>
    <row r="41" spans="2:29" s="49" customFormat="1" ht="15.75" thickBot="1" x14ac:dyDescent="0.3">
      <c r="B41" s="50" t="s">
        <v>141</v>
      </c>
      <c r="C41" s="45" t="s">
        <v>130</v>
      </c>
      <c r="D41" s="45" t="s">
        <v>140</v>
      </c>
      <c r="E41" s="45">
        <v>2</v>
      </c>
      <c r="G41" s="51">
        <v>11.3</v>
      </c>
      <c r="K41" s="49" t="s">
        <v>90</v>
      </c>
    </row>
    <row r="42" spans="2:29" s="49" customFormat="1" ht="15.75" thickBot="1" x14ac:dyDescent="0.3">
      <c r="B42" s="50" t="s">
        <v>141</v>
      </c>
      <c r="C42" s="45" t="s">
        <v>132</v>
      </c>
      <c r="D42" s="45" t="s">
        <v>140</v>
      </c>
      <c r="E42" s="45">
        <v>2.5</v>
      </c>
      <c r="G42" s="51">
        <v>14.2</v>
      </c>
      <c r="K42" s="49" t="s">
        <v>91</v>
      </c>
    </row>
    <row r="43" spans="2:29" s="49" customFormat="1" ht="15.75" thickBot="1" x14ac:dyDescent="0.3">
      <c r="B43" s="50" t="s">
        <v>141</v>
      </c>
      <c r="C43" s="45" t="s">
        <v>133</v>
      </c>
      <c r="D43" s="45" t="s">
        <v>140</v>
      </c>
      <c r="E43" s="45">
        <v>3</v>
      </c>
      <c r="G43" s="51">
        <v>17</v>
      </c>
    </row>
    <row r="44" spans="2:29" s="49" customFormat="1" ht="15.75" thickBot="1" x14ac:dyDescent="0.3">
      <c r="B44" s="50" t="s">
        <v>141</v>
      </c>
      <c r="C44" s="45" t="s">
        <v>130</v>
      </c>
      <c r="D44" s="45" t="s">
        <v>129</v>
      </c>
      <c r="E44" s="45">
        <v>160</v>
      </c>
      <c r="G44" s="51">
        <v>910</v>
      </c>
      <c r="K44" s="48" t="s">
        <v>117</v>
      </c>
    </row>
    <row r="45" spans="2:29" s="49" customFormat="1" ht="100.5" customHeight="1" thickBot="1" x14ac:dyDescent="0.3">
      <c r="B45" s="50" t="s">
        <v>141</v>
      </c>
      <c r="C45" s="45" t="s">
        <v>132</v>
      </c>
      <c r="D45" s="45" t="s">
        <v>129</v>
      </c>
      <c r="E45" s="45">
        <v>185</v>
      </c>
      <c r="G45" s="51">
        <v>1050</v>
      </c>
      <c r="K45" s="153" t="s">
        <v>92</v>
      </c>
      <c r="L45" s="153"/>
      <c r="M45" s="153"/>
      <c r="N45" s="153"/>
    </row>
    <row r="46" spans="2:29" s="49" customFormat="1" ht="15.75" thickBot="1" x14ac:dyDescent="0.3">
      <c r="B46" s="50" t="s">
        <v>141</v>
      </c>
      <c r="C46" s="45" t="s">
        <v>133</v>
      </c>
      <c r="D46" s="45" t="s">
        <v>129</v>
      </c>
      <c r="E46" s="45">
        <v>205</v>
      </c>
      <c r="G46" s="51">
        <v>1160</v>
      </c>
      <c r="K46" s="142" t="s">
        <v>93</v>
      </c>
      <c r="L46" s="143"/>
      <c r="M46" s="143"/>
      <c r="N46" s="144"/>
    </row>
    <row r="47" spans="2:29" s="49" customFormat="1" ht="15.75" thickBot="1" x14ac:dyDescent="0.3">
      <c r="B47" s="54" t="s">
        <v>141</v>
      </c>
      <c r="C47" s="46" t="s">
        <v>142</v>
      </c>
      <c r="D47" s="46" t="s">
        <v>129</v>
      </c>
      <c r="E47" s="46">
        <v>120</v>
      </c>
      <c r="G47" s="55">
        <v>680</v>
      </c>
      <c r="K47" s="147" t="s">
        <v>94</v>
      </c>
      <c r="L47" s="148"/>
      <c r="M47" s="148"/>
      <c r="N47" s="149"/>
    </row>
    <row r="48" spans="2:29" s="49" customFormat="1" ht="15.75" thickTop="1" x14ac:dyDescent="0.25">
      <c r="K48" s="150" t="s">
        <v>95</v>
      </c>
      <c r="L48" s="56" t="s">
        <v>96</v>
      </c>
      <c r="M48" s="57"/>
      <c r="N48" s="58" t="s">
        <v>103</v>
      </c>
    </row>
    <row r="49" spans="11:14" s="49" customFormat="1" x14ac:dyDescent="0.25">
      <c r="K49" s="151"/>
      <c r="L49" s="59" t="s">
        <v>97</v>
      </c>
      <c r="M49" s="60" t="s">
        <v>100</v>
      </c>
      <c r="N49" s="61" t="s">
        <v>104</v>
      </c>
    </row>
    <row r="50" spans="11:14" s="49" customFormat="1" x14ac:dyDescent="0.25">
      <c r="K50" s="151"/>
      <c r="L50" s="59" t="s">
        <v>98</v>
      </c>
      <c r="M50" s="60" t="s">
        <v>97</v>
      </c>
      <c r="N50" s="61"/>
    </row>
    <row r="51" spans="11:14" s="49" customFormat="1" x14ac:dyDescent="0.25">
      <c r="K51" s="151"/>
      <c r="L51" s="59" t="s">
        <v>99</v>
      </c>
      <c r="M51" s="60" t="s">
        <v>101</v>
      </c>
      <c r="N51" s="61"/>
    </row>
    <row r="52" spans="11:14" s="49" customFormat="1" ht="15.75" thickBot="1" x14ac:dyDescent="0.3">
      <c r="K52" s="152"/>
      <c r="L52" s="62"/>
      <c r="M52" s="63" t="s">
        <v>102</v>
      </c>
      <c r="N52" s="64"/>
    </row>
    <row r="53" spans="11:14" s="49" customFormat="1" ht="15.75" thickBot="1" x14ac:dyDescent="0.3">
      <c r="K53" s="65" t="s">
        <v>105</v>
      </c>
      <c r="L53" s="66" t="s">
        <v>106</v>
      </c>
      <c r="M53" s="67"/>
      <c r="N53" s="68"/>
    </row>
    <row r="54" spans="11:14" s="49" customFormat="1" ht="15.75" thickBot="1" x14ac:dyDescent="0.3">
      <c r="K54" s="65" t="s">
        <v>107</v>
      </c>
      <c r="L54" s="66" t="s">
        <v>108</v>
      </c>
      <c r="M54" s="66">
        <v>1.97</v>
      </c>
      <c r="N54" s="69">
        <v>83</v>
      </c>
    </row>
    <row r="55" spans="11:14" s="49" customFormat="1" ht="15.75" thickBot="1" x14ac:dyDescent="0.3">
      <c r="K55" s="65" t="s">
        <v>109</v>
      </c>
      <c r="L55" s="66" t="s">
        <v>110</v>
      </c>
      <c r="M55" s="66">
        <v>2.63</v>
      </c>
      <c r="N55" s="69">
        <v>87</v>
      </c>
    </row>
    <row r="56" spans="11:14" s="49" customFormat="1" ht="15.75" thickBot="1" x14ac:dyDescent="0.3">
      <c r="K56" s="65" t="s">
        <v>111</v>
      </c>
      <c r="L56" s="66" t="s">
        <v>112</v>
      </c>
      <c r="M56" s="66">
        <v>3.03</v>
      </c>
      <c r="N56" s="69">
        <v>89</v>
      </c>
    </row>
    <row r="57" spans="11:14" s="49" customFormat="1" ht="15.75" thickBot="1" x14ac:dyDescent="0.3">
      <c r="K57" s="65" t="s">
        <v>113</v>
      </c>
      <c r="L57" s="66" t="s">
        <v>114</v>
      </c>
      <c r="M57" s="66">
        <v>3.42</v>
      </c>
      <c r="N57" s="69">
        <v>90</v>
      </c>
    </row>
    <row r="58" spans="11:14" s="49" customFormat="1" ht="15.75" thickBot="1" x14ac:dyDescent="0.3">
      <c r="K58" s="70" t="s">
        <v>115</v>
      </c>
      <c r="L58" s="71" t="s">
        <v>116</v>
      </c>
      <c r="M58" s="71">
        <v>3.55</v>
      </c>
      <c r="N58" s="72">
        <v>91</v>
      </c>
    </row>
    <row r="59" spans="11:14" s="47" customFormat="1" x14ac:dyDescent="0.25">
      <c r="K59" s="43"/>
    </row>
    <row r="60" spans="11:14" s="47" customFormat="1" x14ac:dyDescent="0.25"/>
    <row r="61" spans="11:14" s="47" customFormat="1" x14ac:dyDescent="0.25"/>
    <row r="62" spans="11:14" s="47" customFormat="1" x14ac:dyDescent="0.25"/>
    <row r="63" spans="11:14" s="47" customFormat="1" x14ac:dyDescent="0.25"/>
    <row r="64" spans="11:14" s="47" customFormat="1" x14ac:dyDescent="0.25"/>
    <row r="65" s="47" customFormat="1" x14ac:dyDescent="0.25"/>
    <row r="66" s="47" customFormat="1" x14ac:dyDescent="0.25"/>
  </sheetData>
  <mergeCells count="15">
    <mergeCell ref="K47:N47"/>
    <mergeCell ref="K48:K52"/>
    <mergeCell ref="K45:N45"/>
    <mergeCell ref="B31:B32"/>
    <mergeCell ref="C31:C32"/>
    <mergeCell ref="D31:D32"/>
    <mergeCell ref="E32:F32"/>
    <mergeCell ref="G32:H32"/>
    <mergeCell ref="E31:H31"/>
    <mergeCell ref="C9:E9"/>
    <mergeCell ref="F1:G1"/>
    <mergeCell ref="G8:M8"/>
    <mergeCell ref="K46:N46"/>
    <mergeCell ref="B1:C1"/>
    <mergeCell ref="B18:B19"/>
  </mergeCells>
  <hyperlinks>
    <hyperlink ref="L1" r:id="rId1" display="http://www.energy.gov.za/EEE/Projects/EnergyEfficiencyStandardsAndLabellingForHouseholdAppliances/Status-on-enablingStandards-SANS 941-and-SANS-151.pdf"/>
    <hyperlink ref="K21" r:id="rId2"/>
    <hyperlink ref="K39" r:id="rId3"/>
    <hyperlink ref="K44" r:id="rId4"/>
    <hyperlink ref="B30" r:id="rId5"/>
    <hyperlink ref="E31" r:id="rId6" display="http://www.engineeringtoolbox.com/overall-heat-transfer-coefficient-d_434.html"/>
    <hyperlink ref="U23" r:id="rId7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zoomScale="70" zoomScaleNormal="70" workbookViewId="0">
      <selection activeCell="D5" sqref="D5"/>
    </sheetView>
  </sheetViews>
  <sheetFormatPr defaultRowHeight="15" x14ac:dyDescent="0.25"/>
  <cols>
    <col min="1" max="1" width="16.7109375" customWidth="1"/>
    <col min="2" max="2" width="9.5703125" bestFit="1" customWidth="1"/>
    <col min="3" max="3" width="13" customWidth="1"/>
    <col min="4" max="4" width="9.140625" bestFit="1" customWidth="1"/>
    <col min="5" max="5" width="11.42578125" customWidth="1"/>
    <col min="7" max="7" width="11.140625" bestFit="1" customWidth="1"/>
    <col min="9" max="9" width="9.5703125" bestFit="1" customWidth="1"/>
    <col min="10" max="10" width="9.5703125" customWidth="1"/>
    <col min="11" max="11" width="7.7109375" customWidth="1"/>
    <col min="12" max="12" width="7.5703125" customWidth="1"/>
  </cols>
  <sheetData>
    <row r="2" spans="1:12" x14ac:dyDescent="0.25">
      <c r="I2" s="21" t="s">
        <v>129</v>
      </c>
      <c r="J2">
        <v>65</v>
      </c>
      <c r="K2">
        <v>65</v>
      </c>
      <c r="L2">
        <v>65</v>
      </c>
    </row>
    <row r="3" spans="1:12" x14ac:dyDescent="0.25">
      <c r="A3" t="s">
        <v>174</v>
      </c>
      <c r="B3" s="10">
        <v>60</v>
      </c>
      <c r="C3" t="s">
        <v>161</v>
      </c>
      <c r="I3" s="21" t="s">
        <v>187</v>
      </c>
      <c r="J3">
        <v>23</v>
      </c>
      <c r="K3">
        <v>20</v>
      </c>
      <c r="L3">
        <v>17</v>
      </c>
    </row>
    <row r="4" spans="1:12" ht="15.75" thickBot="1" x14ac:dyDescent="0.3">
      <c r="A4" t="s">
        <v>162</v>
      </c>
      <c r="B4" s="10">
        <v>20</v>
      </c>
      <c r="C4" t="s">
        <v>161</v>
      </c>
      <c r="I4" s="21" t="s">
        <v>181</v>
      </c>
      <c r="J4">
        <f>J2-J3</f>
        <v>42</v>
      </c>
      <c r="K4">
        <f>K2-K3</f>
        <v>45</v>
      </c>
      <c r="L4">
        <f>L2-L3</f>
        <v>48</v>
      </c>
    </row>
    <row r="5" spans="1:12" ht="15.75" customHeight="1" x14ac:dyDescent="0.25">
      <c r="A5" s="78" t="s">
        <v>75</v>
      </c>
      <c r="B5" s="10">
        <v>50</v>
      </c>
      <c r="C5" t="s">
        <v>0</v>
      </c>
      <c r="D5" s="2">
        <f>B15*B5*(B3-B4)/3600</f>
        <v>2.3333333333333335</v>
      </c>
      <c r="E5" t="s">
        <v>212</v>
      </c>
      <c r="F5" s="186" t="s">
        <v>32</v>
      </c>
      <c r="G5" s="181" t="s">
        <v>31</v>
      </c>
      <c r="H5" s="182"/>
      <c r="I5" s="182"/>
      <c r="J5" s="183" t="s">
        <v>188</v>
      </c>
      <c r="K5" s="184"/>
      <c r="L5" s="185"/>
    </row>
    <row r="6" spans="1:12" ht="15.75" thickBot="1" x14ac:dyDescent="0.3">
      <c r="A6" s="78" t="s">
        <v>32</v>
      </c>
      <c r="B6" s="23" t="s">
        <v>25</v>
      </c>
      <c r="D6">
        <f>D5*1000/100</f>
        <v>23.333333333333336</v>
      </c>
      <c r="F6" s="187"/>
      <c r="G6" s="92" t="s">
        <v>159</v>
      </c>
      <c r="H6" s="93" t="s">
        <v>157</v>
      </c>
      <c r="I6" s="94" t="s">
        <v>155</v>
      </c>
      <c r="J6" s="95" t="s">
        <v>184</v>
      </c>
      <c r="K6" s="96" t="s">
        <v>186</v>
      </c>
      <c r="L6" s="97" t="s">
        <v>185</v>
      </c>
    </row>
    <row r="7" spans="1:12" x14ac:dyDescent="0.25">
      <c r="A7" s="78" t="s">
        <v>31</v>
      </c>
      <c r="B7" s="77">
        <f>Standing!C4</f>
        <v>100.99151948408482</v>
      </c>
      <c r="C7" t="s">
        <v>45</v>
      </c>
      <c r="E7" s="82" t="s">
        <v>169</v>
      </c>
      <c r="F7" s="13" t="s">
        <v>20</v>
      </c>
      <c r="G7" s="90">
        <f>Standing!F11</f>
        <v>24.892131995632774</v>
      </c>
      <c r="H7" s="127">
        <f t="shared" ref="H7:H14" si="0">G7*$B$10*$B$11/1000</f>
        <v>0.59741116789518656</v>
      </c>
      <c r="I7" s="128">
        <f t="shared" ref="I7:I14" si="1">H7*$B$8</f>
        <v>0.95585786863229849</v>
      </c>
      <c r="J7" s="129">
        <f>$G7/$B$9/J$4</f>
        <v>0.37077959823308637</v>
      </c>
      <c r="K7" s="130">
        <f>$G7/$B$9/K$4</f>
        <v>0.34606095835088058</v>
      </c>
      <c r="L7" s="131">
        <f>$G7/$B$9/L$4</f>
        <v>0.32443214845395058</v>
      </c>
    </row>
    <row r="8" spans="1:12" x14ac:dyDescent="0.25">
      <c r="A8" s="78" t="s">
        <v>158</v>
      </c>
      <c r="B8" s="76">
        <v>1.6</v>
      </c>
      <c r="C8" t="s">
        <v>156</v>
      </c>
      <c r="F8" s="14" t="s">
        <v>21</v>
      </c>
      <c r="G8" s="90">
        <f>Standing!F12</f>
        <v>32.889073807035714</v>
      </c>
      <c r="H8" s="127">
        <f t="shared" si="0"/>
        <v>0.78933777136885719</v>
      </c>
      <c r="I8" s="128">
        <f t="shared" si="1"/>
        <v>1.2629404341901715</v>
      </c>
      <c r="J8" s="129">
        <f t="shared" ref="J8:L14" si="2">$G8/$B$9/J$4</f>
        <v>0.48989767427597286</v>
      </c>
      <c r="K8" s="130">
        <f t="shared" si="2"/>
        <v>0.45723782932424134</v>
      </c>
      <c r="L8" s="131">
        <f t="shared" si="2"/>
        <v>0.42866046499147625</v>
      </c>
    </row>
    <row r="9" spans="1:12" x14ac:dyDescent="0.25">
      <c r="A9" s="9" t="s">
        <v>182</v>
      </c>
      <c r="B9" s="80">
        <f>Standing!F3</f>
        <v>1.5984423421464868</v>
      </c>
      <c r="C9" s="9" t="s">
        <v>183</v>
      </c>
      <c r="F9" s="15" t="s">
        <v>22</v>
      </c>
      <c r="G9" s="90">
        <f>Standing!F13</f>
        <v>48.689048617346856</v>
      </c>
      <c r="H9" s="127">
        <f t="shared" si="0"/>
        <v>1.1685371668163245</v>
      </c>
      <c r="I9" s="128">
        <f t="shared" si="1"/>
        <v>1.8696594669061193</v>
      </c>
      <c r="J9" s="129">
        <f t="shared" si="2"/>
        <v>0.72524546663413114</v>
      </c>
      <c r="K9" s="130">
        <f t="shared" si="2"/>
        <v>0.67689576885852243</v>
      </c>
      <c r="L9" s="131">
        <f t="shared" si="2"/>
        <v>0.63458978330486471</v>
      </c>
    </row>
    <row r="10" spans="1:12" x14ac:dyDescent="0.25">
      <c r="A10" s="9" t="s">
        <v>151</v>
      </c>
      <c r="B10" s="9">
        <v>24</v>
      </c>
      <c r="C10" s="9" t="s">
        <v>154</v>
      </c>
      <c r="F10" s="16" t="s">
        <v>23</v>
      </c>
      <c r="G10" s="90">
        <f>Standing!F14</f>
        <v>63.443844115205231</v>
      </c>
      <c r="H10" s="127">
        <f t="shared" si="0"/>
        <v>1.5226522587649256</v>
      </c>
      <c r="I10" s="128">
        <f t="shared" si="1"/>
        <v>2.4362436140238812</v>
      </c>
      <c r="J10" s="129">
        <f t="shared" si="2"/>
        <v>0.94502483899432532</v>
      </c>
      <c r="K10" s="130">
        <f t="shared" si="2"/>
        <v>0.88202318306137029</v>
      </c>
      <c r="L10" s="131">
        <f t="shared" si="2"/>
        <v>0.82689673412003462</v>
      </c>
    </row>
    <row r="11" spans="1:12" x14ac:dyDescent="0.25">
      <c r="A11" s="9" t="s">
        <v>152</v>
      </c>
      <c r="B11" s="9">
        <v>1</v>
      </c>
      <c r="C11" s="9" t="s">
        <v>153</v>
      </c>
      <c r="D11" s="4"/>
      <c r="F11" s="17" t="s">
        <v>24</v>
      </c>
      <c r="G11" s="90">
        <f>Standing!F15</f>
        <v>80.857241174907472</v>
      </c>
      <c r="H11" s="127">
        <f t="shared" si="0"/>
        <v>1.9405737881977794</v>
      </c>
      <c r="I11" s="128">
        <f t="shared" si="1"/>
        <v>3.1049180611164471</v>
      </c>
      <c r="J11" s="129">
        <f t="shared" si="2"/>
        <v>1.2044052876759561</v>
      </c>
      <c r="K11" s="130">
        <f t="shared" si="2"/>
        <v>1.1241116018308923</v>
      </c>
      <c r="L11" s="131">
        <f t="shared" si="2"/>
        <v>1.0538546267164615</v>
      </c>
    </row>
    <row r="12" spans="1:12" x14ac:dyDescent="0.25">
      <c r="A12" s="78" t="s">
        <v>165</v>
      </c>
      <c r="B12" s="137">
        <f>B7*B10*B11/1000</f>
        <v>2.4237964676180352</v>
      </c>
      <c r="C12" t="s">
        <v>157</v>
      </c>
      <c r="F12" s="18" t="s">
        <v>25</v>
      </c>
      <c r="G12" s="90">
        <f>Standing!F16</f>
        <v>100.99151948408482</v>
      </c>
      <c r="H12" s="127">
        <f t="shared" si="0"/>
        <v>2.4237964676180352</v>
      </c>
      <c r="I12" s="128">
        <f t="shared" si="1"/>
        <v>3.8780743481888567</v>
      </c>
      <c r="J12" s="129">
        <f t="shared" si="2"/>
        <v>1.5043144968790767</v>
      </c>
      <c r="K12" s="130">
        <f t="shared" si="2"/>
        <v>1.4040268637538049</v>
      </c>
      <c r="L12" s="131">
        <f t="shared" si="2"/>
        <v>1.316275184769192</v>
      </c>
    </row>
    <row r="13" spans="1:12" x14ac:dyDescent="0.25">
      <c r="A13" s="81" t="s">
        <v>166</v>
      </c>
      <c r="B13" s="137">
        <f>B12*B8</f>
        <v>3.8780743481888567</v>
      </c>
      <c r="C13" t="s">
        <v>155</v>
      </c>
      <c r="F13" s="19" t="s">
        <v>26</v>
      </c>
      <c r="G13" s="90">
        <f>Standing!F17</f>
        <v>110.66416323251009</v>
      </c>
      <c r="H13" s="127">
        <f t="shared" si="0"/>
        <v>2.6559399175802425</v>
      </c>
      <c r="I13" s="128">
        <f t="shared" si="1"/>
        <v>4.2495038681283885</v>
      </c>
      <c r="J13" s="129">
        <f t="shared" si="2"/>
        <v>1.6483929134454887</v>
      </c>
      <c r="K13" s="130">
        <f t="shared" si="2"/>
        <v>1.5385000525491228</v>
      </c>
      <c r="L13" s="131">
        <f t="shared" si="2"/>
        <v>1.4423437992648027</v>
      </c>
    </row>
    <row r="14" spans="1:12" ht="15.75" thickBot="1" x14ac:dyDescent="0.3">
      <c r="A14" s="9" t="s">
        <v>172</v>
      </c>
      <c r="B14" s="80">
        <f>Standing!F4</f>
        <v>1.4040268637538049</v>
      </c>
      <c r="C14" s="9" t="s">
        <v>173</v>
      </c>
      <c r="E14" s="82" t="s">
        <v>170</v>
      </c>
      <c r="F14" s="84" t="s">
        <v>180</v>
      </c>
      <c r="G14" s="91">
        <f>Standing!F18</f>
        <v>90</v>
      </c>
      <c r="H14" s="132">
        <f t="shared" si="0"/>
        <v>2.16</v>
      </c>
      <c r="I14" s="133">
        <f t="shared" si="1"/>
        <v>3.4560000000000004</v>
      </c>
      <c r="J14" s="134">
        <f t="shared" si="2"/>
        <v>1.3405908279303853</v>
      </c>
      <c r="K14" s="135">
        <f t="shared" si="2"/>
        <v>1.2512181060683596</v>
      </c>
      <c r="L14" s="136">
        <f t="shared" si="2"/>
        <v>1.173016974439087</v>
      </c>
    </row>
    <row r="15" spans="1:12" x14ac:dyDescent="0.25">
      <c r="A15" s="9" t="s">
        <v>160</v>
      </c>
      <c r="B15" s="9">
        <v>4.2</v>
      </c>
      <c r="C15" s="9" t="s">
        <v>164</v>
      </c>
    </row>
    <row r="16" spans="1:12" x14ac:dyDescent="0.25">
      <c r="A16" s="9" t="s">
        <v>163</v>
      </c>
      <c r="B16" s="79">
        <f>B3-B4</f>
        <v>40</v>
      </c>
      <c r="C16" s="9" t="s">
        <v>161</v>
      </c>
      <c r="E16">
        <v>10</v>
      </c>
      <c r="H16">
        <v>4.2</v>
      </c>
      <c r="I16" s="9" t="s">
        <v>164</v>
      </c>
    </row>
    <row r="17" spans="1:22" x14ac:dyDescent="0.25">
      <c r="A17" t="s">
        <v>168</v>
      </c>
      <c r="B17">
        <f>B15*B16*B5</f>
        <v>8400</v>
      </c>
      <c r="C17" t="s">
        <v>167</v>
      </c>
      <c r="D17">
        <v>55</v>
      </c>
      <c r="E17">
        <f>D17-E16</f>
        <v>45</v>
      </c>
      <c r="F17" t="s">
        <v>181</v>
      </c>
      <c r="I17" s="9"/>
    </row>
    <row r="18" spans="1:22" x14ac:dyDescent="0.25">
      <c r="A18" s="83" t="s">
        <v>211</v>
      </c>
      <c r="D18">
        <v>100</v>
      </c>
      <c r="E18">
        <f>D18</f>
        <v>100</v>
      </c>
      <c r="F18" t="s">
        <v>0</v>
      </c>
      <c r="L18">
        <f>60*60</f>
        <v>3600</v>
      </c>
      <c r="N18" t="s">
        <v>191</v>
      </c>
      <c r="O18" s="6">
        <f>L23</f>
        <v>2555</v>
      </c>
      <c r="P18">
        <v>50</v>
      </c>
      <c r="Q18">
        <v>70</v>
      </c>
      <c r="R18">
        <v>100</v>
      </c>
      <c r="S18">
        <v>110</v>
      </c>
      <c r="T18">
        <f>S18+10</f>
        <v>120</v>
      </c>
      <c r="U18">
        <f>T18+10</f>
        <v>130</v>
      </c>
      <c r="V18">
        <v>130</v>
      </c>
    </row>
    <row r="19" spans="1:22" x14ac:dyDescent="0.25">
      <c r="L19" s="6">
        <v>150</v>
      </c>
      <c r="N19" t="s">
        <v>0</v>
      </c>
      <c r="O19">
        <v>35</v>
      </c>
      <c r="P19" s="6">
        <f t="dataTable" ref="P19:V23" dt2D="1" dtr="1" r1="L20" r2="L19"/>
        <v>745.20833333333326</v>
      </c>
      <c r="Q19" s="6">
        <v>1043.2916666666667</v>
      </c>
      <c r="R19" s="6">
        <v>1490.4166666666665</v>
      </c>
      <c r="S19" s="6">
        <v>1639.4583333333333</v>
      </c>
      <c r="T19" s="6">
        <v>1788.5000000000002</v>
      </c>
      <c r="U19" s="6">
        <v>1937.5416666666667</v>
      </c>
      <c r="V19" s="6">
        <v>1937.5416666666667</v>
      </c>
    </row>
    <row r="20" spans="1:22" x14ac:dyDescent="0.25">
      <c r="B20" s="188" t="s">
        <v>198</v>
      </c>
      <c r="C20" s="188"/>
      <c r="D20" s="188" t="s">
        <v>197</v>
      </c>
      <c r="E20" s="188"/>
      <c r="F20" s="188"/>
      <c r="H20" s="99"/>
      <c r="L20" s="98">
        <f>B16</f>
        <v>40</v>
      </c>
      <c r="N20" t="s">
        <v>192</v>
      </c>
      <c r="O20">
        <f>O19+5</f>
        <v>40</v>
      </c>
      <c r="P20" s="6">
        <v>851.66666666666674</v>
      </c>
      <c r="Q20" s="6">
        <v>1192.3333333333333</v>
      </c>
      <c r="R20" s="6">
        <v>1703.3333333333335</v>
      </c>
      <c r="S20" s="6">
        <v>1873.6666666666667</v>
      </c>
      <c r="T20" s="6">
        <v>2043.9999999999998</v>
      </c>
      <c r="U20" s="6">
        <v>2214.333333333333</v>
      </c>
      <c r="V20" s="6">
        <v>2214.333333333333</v>
      </c>
    </row>
    <row r="21" spans="1:22" x14ac:dyDescent="0.25">
      <c r="A21" s="83" t="s">
        <v>190</v>
      </c>
      <c r="B21" s="101" t="s">
        <v>195</v>
      </c>
      <c r="C21" s="101" t="s">
        <v>196</v>
      </c>
      <c r="D21" s="101" t="s">
        <v>195</v>
      </c>
      <c r="E21" s="101" t="s">
        <v>196</v>
      </c>
      <c r="F21" s="101" t="s">
        <v>199</v>
      </c>
      <c r="G21" s="101" t="s">
        <v>200</v>
      </c>
      <c r="H21" s="99"/>
      <c r="L21">
        <f>L20*L19*H16</f>
        <v>25200</v>
      </c>
      <c r="N21" s="99" t="s">
        <v>193</v>
      </c>
      <c r="O21">
        <f>O20+5</f>
        <v>45</v>
      </c>
      <c r="P21" s="100">
        <v>958.125</v>
      </c>
      <c r="Q21" s="6">
        <v>1341.375</v>
      </c>
      <c r="R21" s="6">
        <v>1916.25</v>
      </c>
      <c r="S21" s="6">
        <v>2107.875</v>
      </c>
      <c r="T21" s="6">
        <v>2299.5</v>
      </c>
      <c r="U21" s="6">
        <v>2491.125</v>
      </c>
      <c r="V21" s="6">
        <v>2491.125</v>
      </c>
    </row>
    <row r="22" spans="1:22" x14ac:dyDescent="0.25">
      <c r="A22">
        <v>22</v>
      </c>
      <c r="B22" s="98">
        <f>$B$12</f>
        <v>2.4237964676180352</v>
      </c>
      <c r="C22" s="98">
        <f>HLOOKUP($D$18,$O$18:$V$23,MATCH($D$17,$O$18:$O$23,0),0)</f>
        <v>2342.0833333333335</v>
      </c>
      <c r="D22" s="98" t="e">
        <f>(1-F22)*$B$12</f>
        <v>#REF!</v>
      </c>
      <c r="E22" s="98">
        <f>HLOOKUP($E$18,$O$18:$V$23,MATCH($E$17,$O$18:$O$23,0),0)</f>
        <v>1916.25</v>
      </c>
      <c r="F22" s="99" t="e">
        <f>#REF!</f>
        <v>#REF!</v>
      </c>
      <c r="G22" s="99">
        <f>1-E22/C22</f>
        <v>0.18181818181818188</v>
      </c>
      <c r="H22" s="99" t="e">
        <f>1-SUM(D22:E22)/SUM(B22:C22)</f>
        <v>#REF!</v>
      </c>
      <c r="L22">
        <f>L21/L18</f>
        <v>7</v>
      </c>
      <c r="N22" s="99" t="s">
        <v>194</v>
      </c>
      <c r="O22">
        <f>O21+5</f>
        <v>50</v>
      </c>
      <c r="P22" s="100">
        <v>1064.5833333333333</v>
      </c>
      <c r="Q22" s="6">
        <v>1490.4166666666665</v>
      </c>
      <c r="R22" s="6">
        <v>2129.1666666666665</v>
      </c>
      <c r="S22" s="6">
        <v>2342.0833333333335</v>
      </c>
      <c r="T22" s="6">
        <v>2555</v>
      </c>
      <c r="U22" s="6">
        <v>2767.9166666666665</v>
      </c>
      <c r="V22" s="6">
        <v>2767.9166666666665</v>
      </c>
    </row>
    <row r="23" spans="1:22" x14ac:dyDescent="0.25">
      <c r="H23" s="99"/>
      <c r="L23" s="6">
        <f>L22*365</f>
        <v>2555</v>
      </c>
      <c r="N23" s="99" t="s">
        <v>189</v>
      </c>
      <c r="O23">
        <f>O22+5</f>
        <v>55</v>
      </c>
      <c r="P23" s="100">
        <v>1171.0416666666667</v>
      </c>
      <c r="Q23" s="6">
        <v>1639.4583333333333</v>
      </c>
      <c r="R23" s="6">
        <v>2342.0833333333335</v>
      </c>
      <c r="S23" s="6">
        <v>2576.291666666667</v>
      </c>
      <c r="T23" s="6">
        <v>2810.5</v>
      </c>
      <c r="U23" s="6">
        <v>3044.7083333333335</v>
      </c>
      <c r="V23" s="6">
        <v>3044.7083333333335</v>
      </c>
    </row>
    <row r="24" spans="1:22" x14ac:dyDescent="0.25">
      <c r="A24">
        <v>12</v>
      </c>
      <c r="B24" s="98">
        <v>1235.1218384421184</v>
      </c>
      <c r="C24" s="98">
        <v>2342.0833333333335</v>
      </c>
      <c r="D24" s="98">
        <v>1111.7070990376096</v>
      </c>
      <c r="E24" s="98">
        <v>1916.25</v>
      </c>
      <c r="F24" s="99"/>
      <c r="G24" s="98">
        <f>SUM(D24:E24)</f>
        <v>3027.9570990376096</v>
      </c>
      <c r="H24" t="s">
        <v>208</v>
      </c>
      <c r="I24" s="98">
        <f>SUM(B22:C22)</f>
        <v>2344.5071298009516</v>
      </c>
      <c r="J24" s="99"/>
    </row>
    <row r="25" spans="1:22" x14ac:dyDescent="0.25">
      <c r="A25">
        <v>16</v>
      </c>
      <c r="B25" s="98">
        <v>1235.1218384421184</v>
      </c>
      <c r="C25" s="98">
        <v>2342.0833333333335</v>
      </c>
      <c r="D25" s="98">
        <v>1074.1442719287995</v>
      </c>
      <c r="E25" s="98">
        <v>1916.25</v>
      </c>
      <c r="G25" s="98">
        <f>SUM(D25:E25)</f>
        <v>2990.3942719287998</v>
      </c>
      <c r="H25" s="99" t="s">
        <v>209</v>
      </c>
      <c r="I25" s="98" t="e">
        <f>SUM(D22,C22)</f>
        <v>#REF!</v>
      </c>
    </row>
    <row r="26" spans="1:22" x14ac:dyDescent="0.25">
      <c r="E26" t="s">
        <v>201</v>
      </c>
      <c r="H26" t="s">
        <v>210</v>
      </c>
      <c r="I26" s="98" t="e">
        <f>SUM(D22:E22)</f>
        <v>#REF!</v>
      </c>
    </row>
    <row r="27" spans="1:22" x14ac:dyDescent="0.25">
      <c r="B27" s="98">
        <f>SUM(B22:C22)</f>
        <v>2344.5071298009516</v>
      </c>
      <c r="C27" s="98" t="e">
        <f>SUM(D22:E22)</f>
        <v>#REF!</v>
      </c>
      <c r="E27" s="6">
        <f>B27/12*1.6</f>
        <v>312.60095064012694</v>
      </c>
      <c r="F27" s="6" t="e">
        <f>C27/12*1.6</f>
        <v>#REF!</v>
      </c>
    </row>
    <row r="28" spans="1:22" x14ac:dyDescent="0.25">
      <c r="R28" s="99">
        <v>0.18403739421130305</v>
      </c>
    </row>
    <row r="29" spans="1:22" ht="15.75" thickBot="1" x14ac:dyDescent="0.3">
      <c r="C29" s="6"/>
    </row>
    <row r="30" spans="1:22" ht="15.75" thickBot="1" x14ac:dyDescent="0.3">
      <c r="C30" s="6"/>
      <c r="D30" s="3"/>
      <c r="F30" s="170" t="s">
        <v>202</v>
      </c>
      <c r="G30" s="171"/>
      <c r="H30" s="171"/>
      <c r="I30" s="172"/>
      <c r="M30" s="178" t="s">
        <v>206</v>
      </c>
      <c r="N30" s="179"/>
      <c r="O30" s="180"/>
    </row>
    <row r="31" spans="1:22" ht="15.75" thickBot="1" x14ac:dyDescent="0.3">
      <c r="C31" s="6"/>
      <c r="D31" s="167" t="s">
        <v>203</v>
      </c>
      <c r="E31" s="103" t="e">
        <f>H22</f>
        <v>#REF!</v>
      </c>
      <c r="F31" s="108">
        <v>50</v>
      </c>
      <c r="G31" s="109">
        <v>70</v>
      </c>
      <c r="H31" s="109">
        <v>100</v>
      </c>
      <c r="I31" s="110">
        <v>130</v>
      </c>
      <c r="J31" s="6"/>
      <c r="L31" s="102" t="e">
        <f>H22</f>
        <v>#REF!</v>
      </c>
      <c r="M31" s="111">
        <v>50</v>
      </c>
      <c r="N31" s="106">
        <v>100</v>
      </c>
      <c r="O31" s="107">
        <v>150</v>
      </c>
    </row>
    <row r="32" spans="1:22" ht="15" customHeight="1" x14ac:dyDescent="0.25">
      <c r="C32" s="6"/>
      <c r="D32" s="168"/>
      <c r="E32" s="104">
        <v>0</v>
      </c>
      <c r="F32" s="119" t="e">
        <f t="dataTable" ref="F32:I36" dt2D="1" dtr="1" r1="D18" r2="E16" ca="1"/>
        <v>#REF!</v>
      </c>
      <c r="G32" s="120" t="e">
        <v>#REF!</v>
      </c>
      <c r="H32" s="120" t="e">
        <v>#REF!</v>
      </c>
      <c r="I32" s="121" t="e">
        <v>#REF!</v>
      </c>
      <c r="J32" s="99"/>
      <c r="K32" s="175" t="s">
        <v>205</v>
      </c>
      <c r="L32" s="126" t="s">
        <v>20</v>
      </c>
      <c r="M32" s="122" t="e">
        <f t="dataTable" ref="M32:O35" dt2D="1" dtr="1" r1="B5" r2="B6"/>
        <v>#REF!</v>
      </c>
      <c r="N32" s="123" t="e">
        <v>#REF!</v>
      </c>
      <c r="O32" s="124" t="e">
        <v>#REF!</v>
      </c>
    </row>
    <row r="33" spans="3:15" x14ac:dyDescent="0.25">
      <c r="C33" s="6"/>
      <c r="D33" s="168"/>
      <c r="E33" s="104">
        <v>5</v>
      </c>
      <c r="F33" s="114" t="e">
        <v>#REF!</v>
      </c>
      <c r="G33" s="112" t="e">
        <v>#REF!</v>
      </c>
      <c r="H33" s="112" t="e">
        <v>#REF!</v>
      </c>
      <c r="I33" s="115" t="e">
        <v>#REF!</v>
      </c>
      <c r="J33" s="99"/>
      <c r="K33" s="176"/>
      <c r="L33" s="104" t="s">
        <v>22</v>
      </c>
      <c r="M33" s="114" t="e">
        <v>#REF!</v>
      </c>
      <c r="N33" s="112" t="e">
        <v>#REF!</v>
      </c>
      <c r="O33" s="115" t="e">
        <v>#REF!</v>
      </c>
    </row>
    <row r="34" spans="3:15" x14ac:dyDescent="0.25">
      <c r="C34" s="6"/>
      <c r="D34" s="168"/>
      <c r="E34" s="104">
        <v>10</v>
      </c>
      <c r="F34" s="114" t="e">
        <v>#REF!</v>
      </c>
      <c r="G34" s="112" t="e">
        <v>#REF!</v>
      </c>
      <c r="H34" s="113" t="e">
        <v>#REF!</v>
      </c>
      <c r="I34" s="115" t="e">
        <v>#REF!</v>
      </c>
      <c r="J34" s="99"/>
      <c r="K34" s="176"/>
      <c r="L34" s="104" t="s">
        <v>25</v>
      </c>
      <c r="M34" s="114" t="e">
        <v>#REF!</v>
      </c>
      <c r="N34" s="112" t="e">
        <v>#REF!</v>
      </c>
      <c r="O34" s="125" t="e">
        <v>#REF!</v>
      </c>
    </row>
    <row r="35" spans="3:15" ht="15.75" thickBot="1" x14ac:dyDescent="0.3">
      <c r="C35" s="6"/>
      <c r="D35" s="168"/>
      <c r="E35" s="104">
        <v>15</v>
      </c>
      <c r="F35" s="114" t="e">
        <v>#REF!</v>
      </c>
      <c r="G35" s="112" t="e">
        <v>#REF!</v>
      </c>
      <c r="H35" s="112" t="e">
        <v>#REF!</v>
      </c>
      <c r="I35" s="115" t="e">
        <v>#REF!</v>
      </c>
      <c r="J35" s="99"/>
      <c r="K35" s="177"/>
      <c r="L35" s="105" t="s">
        <v>26</v>
      </c>
      <c r="M35" s="116" t="e">
        <v>#REF!</v>
      </c>
      <c r="N35" s="117" t="e">
        <v>#REF!</v>
      </c>
      <c r="O35" s="118" t="e">
        <v>#REF!</v>
      </c>
    </row>
    <row r="36" spans="3:15" ht="15.75" thickBot="1" x14ac:dyDescent="0.3">
      <c r="C36" s="6"/>
      <c r="D36" s="169"/>
      <c r="E36" s="105">
        <v>20</v>
      </c>
      <c r="F36" s="116" t="e">
        <v>#REF!</v>
      </c>
      <c r="G36" s="117" t="e">
        <v>#REF!</v>
      </c>
      <c r="H36" s="117" t="e">
        <v>#REF!</v>
      </c>
      <c r="I36" s="118" t="e">
        <v>#REF!</v>
      </c>
      <c r="J36" s="99"/>
      <c r="L36" s="164" t="s">
        <v>204</v>
      </c>
      <c r="M36" s="173"/>
      <c r="N36" s="173"/>
      <c r="O36" s="174"/>
    </row>
    <row r="37" spans="3:15" ht="15.75" thickBot="1" x14ac:dyDescent="0.3">
      <c r="C37" s="6"/>
      <c r="D37" s="3"/>
      <c r="E37" s="164" t="s">
        <v>207</v>
      </c>
      <c r="F37" s="165"/>
      <c r="G37" s="165"/>
      <c r="H37" s="165"/>
      <c r="I37" s="166"/>
    </row>
    <row r="38" spans="3:15" x14ac:dyDescent="0.25">
      <c r="C38" s="6"/>
      <c r="D38" s="3"/>
    </row>
    <row r="39" spans="3:15" x14ac:dyDescent="0.25">
      <c r="C39" s="6"/>
      <c r="D39" s="3"/>
    </row>
  </sheetData>
  <mergeCells count="11">
    <mergeCell ref="G5:I5"/>
    <mergeCell ref="J5:L5"/>
    <mergeCell ref="F5:F6"/>
    <mergeCell ref="B20:C20"/>
    <mergeCell ref="D20:F20"/>
    <mergeCell ref="E37:I37"/>
    <mergeCell ref="D31:D36"/>
    <mergeCell ref="F30:I30"/>
    <mergeCell ref="L36:O36"/>
    <mergeCell ref="K32:K35"/>
    <mergeCell ref="M30:O30"/>
  </mergeCells>
  <conditionalFormatting sqref="B12:B13 B16">
    <cfRule type="expression" dxfId="1" priority="5">
      <formula>$F11=$B$6</formula>
    </cfRule>
  </conditionalFormatting>
  <conditionalFormatting sqref="G12:I12 G7:I10">
    <cfRule type="expression" dxfId="0" priority="3">
      <formula>$F7=$B$6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5"/>
  <sheetViews>
    <sheetView zoomScale="85" zoomScaleNormal="85" workbookViewId="0"/>
  </sheetViews>
  <sheetFormatPr defaultRowHeight="15" x14ac:dyDescent="0.25"/>
  <cols>
    <col min="11" max="11" width="9.5703125" bestFit="1" customWidth="1"/>
    <col min="12" max="12" width="12" bestFit="1" customWidth="1"/>
  </cols>
  <sheetData>
    <row r="2" spans="1:15" x14ac:dyDescent="0.25">
      <c r="A2" t="s">
        <v>19</v>
      </c>
      <c r="H2" s="1" t="s">
        <v>14</v>
      </c>
    </row>
    <row r="3" spans="1:15" x14ac:dyDescent="0.25">
      <c r="B3" t="s">
        <v>4</v>
      </c>
      <c r="E3" t="s">
        <v>5</v>
      </c>
      <c r="H3">
        <v>50</v>
      </c>
      <c r="I3">
        <v>75</v>
      </c>
      <c r="J3">
        <v>100</v>
      </c>
      <c r="K3">
        <v>150</v>
      </c>
      <c r="L3">
        <v>200</v>
      </c>
      <c r="M3">
        <v>250</v>
      </c>
    </row>
    <row r="4" spans="1:15" x14ac:dyDescent="0.25">
      <c r="E4" s="1" t="s">
        <v>9</v>
      </c>
    </row>
    <row r="5" spans="1:15" x14ac:dyDescent="0.25">
      <c r="E5">
        <v>50</v>
      </c>
      <c r="F5" t="s">
        <v>6</v>
      </c>
    </row>
    <row r="6" spans="1:15" x14ac:dyDescent="0.25">
      <c r="E6">
        <v>50</v>
      </c>
      <c r="F6" s="4" t="s">
        <v>7</v>
      </c>
    </row>
    <row r="7" spans="1:15" x14ac:dyDescent="0.25">
      <c r="E7">
        <v>3</v>
      </c>
      <c r="F7" t="s">
        <v>8</v>
      </c>
    </row>
    <row r="8" spans="1:15" x14ac:dyDescent="0.25">
      <c r="E8">
        <f>E7*E5+$E$6</f>
        <v>200</v>
      </c>
      <c r="F8" t="s">
        <v>15</v>
      </c>
    </row>
    <row r="10" spans="1:15" x14ac:dyDescent="0.25">
      <c r="B10" t="s">
        <v>37</v>
      </c>
      <c r="E10">
        <v>70</v>
      </c>
      <c r="F10" t="s">
        <v>16</v>
      </c>
    </row>
    <row r="11" spans="1:15" x14ac:dyDescent="0.25">
      <c r="E11">
        <v>60</v>
      </c>
      <c r="F11" t="s">
        <v>17</v>
      </c>
    </row>
    <row r="12" spans="1:15" x14ac:dyDescent="0.25">
      <c r="E12">
        <v>55</v>
      </c>
      <c r="F12" t="s">
        <v>18</v>
      </c>
      <c r="H12" s="1"/>
    </row>
    <row r="14" spans="1:15" ht="14.25" customHeight="1" x14ac:dyDescent="0.25"/>
    <row r="15" spans="1:15" x14ac:dyDescent="0.25">
      <c r="H15" s="1" t="s">
        <v>10</v>
      </c>
    </row>
    <row r="16" spans="1:15" x14ac:dyDescent="0.25">
      <c r="H16" s="5" t="s">
        <v>11</v>
      </c>
      <c r="K16" s="5" t="s">
        <v>12</v>
      </c>
      <c r="O16" s="5" t="s">
        <v>13</v>
      </c>
    </row>
    <row r="17" spans="1:23" x14ac:dyDescent="0.25">
      <c r="B17" t="s">
        <v>34</v>
      </c>
      <c r="H17" s="1" t="s">
        <v>33</v>
      </c>
    </row>
    <row r="18" spans="1:23" x14ac:dyDescent="0.25">
      <c r="H18" s="1" t="s">
        <v>35</v>
      </c>
    </row>
    <row r="19" spans="1:23" x14ac:dyDescent="0.25">
      <c r="H19" s="1" t="s">
        <v>36</v>
      </c>
    </row>
    <row r="23" spans="1:23" x14ac:dyDescent="0.25">
      <c r="B23" t="s">
        <v>47</v>
      </c>
    </row>
    <row r="24" spans="1:23" x14ac:dyDescent="0.25">
      <c r="C24" t="s">
        <v>49</v>
      </c>
      <c r="H24" s="1" t="s">
        <v>44</v>
      </c>
    </row>
    <row r="25" spans="1:23" x14ac:dyDescent="0.25">
      <c r="C25" t="s">
        <v>50</v>
      </c>
      <c r="H25" s="1" t="s">
        <v>48</v>
      </c>
    </row>
    <row r="26" spans="1:23" ht="15.75" thickBot="1" x14ac:dyDescent="0.3"/>
    <row r="27" spans="1:23" ht="16.5" thickTop="1" thickBot="1" x14ac:dyDescent="0.3">
      <c r="A27" s="74">
        <v>7.84</v>
      </c>
      <c r="B27" s="31" t="s">
        <v>57</v>
      </c>
      <c r="M27" s="1" t="s">
        <v>14</v>
      </c>
      <c r="S27" t="s">
        <v>59</v>
      </c>
      <c r="T27" t="s">
        <v>63</v>
      </c>
    </row>
    <row r="28" spans="1:23" ht="54" thickTop="1" thickBot="1" x14ac:dyDescent="0.3">
      <c r="A28" s="75">
        <v>1.5</v>
      </c>
      <c r="B28" s="27" t="s">
        <v>53</v>
      </c>
      <c r="C28" s="27" t="s">
        <v>61</v>
      </c>
      <c r="D28" s="27" t="s">
        <v>62</v>
      </c>
      <c r="E28" s="27" t="s">
        <v>54</v>
      </c>
      <c r="F28" s="27" t="s">
        <v>55</v>
      </c>
      <c r="G28" s="27" t="s">
        <v>56</v>
      </c>
      <c r="H28" s="28" t="s">
        <v>59</v>
      </c>
      <c r="I28" s="28" t="s">
        <v>60</v>
      </c>
      <c r="J28" s="28" t="s">
        <v>66</v>
      </c>
      <c r="K28" s="28" t="s">
        <v>64</v>
      </c>
      <c r="L28" s="28" t="s">
        <v>65</v>
      </c>
      <c r="M28" s="27" t="s">
        <v>51</v>
      </c>
      <c r="N28" s="27" t="s">
        <v>68</v>
      </c>
      <c r="O28" s="27" t="s">
        <v>69</v>
      </c>
      <c r="P28" s="27" t="s">
        <v>2</v>
      </c>
      <c r="Q28" s="27" t="s">
        <v>3</v>
      </c>
      <c r="R28" s="27" t="s">
        <v>52</v>
      </c>
      <c r="S28" s="32">
        <v>1</v>
      </c>
      <c r="T28" s="32">
        <v>1</v>
      </c>
      <c r="U28" s="28" t="s">
        <v>67</v>
      </c>
      <c r="V28" s="28" t="s">
        <v>70</v>
      </c>
      <c r="W28" s="28" t="s">
        <v>65</v>
      </c>
    </row>
    <row r="29" spans="1:23" ht="15.75" thickTop="1" x14ac:dyDescent="0.25">
      <c r="B29" s="26" t="s">
        <v>51</v>
      </c>
      <c r="C29" s="26" t="s">
        <v>52</v>
      </c>
      <c r="D29" s="26" t="s">
        <v>52</v>
      </c>
      <c r="E29" s="26" t="s">
        <v>2</v>
      </c>
      <c r="F29" s="26" t="s">
        <v>3</v>
      </c>
      <c r="G29" s="26" t="s">
        <v>52</v>
      </c>
      <c r="H29" s="29">
        <v>1</v>
      </c>
      <c r="I29" s="29">
        <v>1</v>
      </c>
      <c r="M29" s="26">
        <v>25</v>
      </c>
      <c r="N29" s="26">
        <v>480</v>
      </c>
      <c r="O29" s="26">
        <v>600</v>
      </c>
      <c r="P29" s="26">
        <v>14</v>
      </c>
      <c r="Q29" s="26">
        <v>1</v>
      </c>
      <c r="R29" s="26">
        <v>250</v>
      </c>
      <c r="S29">
        <f>O29/1000*S$28</f>
        <v>0.6</v>
      </c>
      <c r="T29">
        <f>N29/1000/2*T$28</f>
        <v>0.24</v>
      </c>
      <c r="U29" s="6">
        <f>PI()*(T29*T29)*S29*1000</f>
        <v>108.57344210806325</v>
      </c>
      <c r="V29" s="2">
        <f>PI()*T29*2*S29+PI()*T29^2*2</f>
        <v>1.2666901579274046</v>
      </c>
      <c r="W29" s="3">
        <f>V29/M29*1000</f>
        <v>50.667606317096187</v>
      </c>
    </row>
    <row r="30" spans="1:23" x14ac:dyDescent="0.25">
      <c r="B30" s="26">
        <v>50</v>
      </c>
      <c r="C30" s="26">
        <v>480</v>
      </c>
      <c r="D30" s="26">
        <v>820</v>
      </c>
      <c r="E30" s="26">
        <v>19</v>
      </c>
      <c r="F30" s="26">
        <v>1</v>
      </c>
      <c r="G30" s="26">
        <v>250</v>
      </c>
      <c r="H30">
        <f>D30/1000*H$29</f>
        <v>0.82</v>
      </c>
      <c r="I30">
        <f>C30/1000/2*I$29</f>
        <v>0.24</v>
      </c>
      <c r="J30" s="6">
        <f>PI()*(I30*I30)*H30*1000</f>
        <v>148.38370421435309</v>
      </c>
      <c r="K30" s="2">
        <f>PI()*I30*2*H30+PI()*I30^2*2</f>
        <v>1.5984423421464866</v>
      </c>
      <c r="L30" s="3">
        <f>K30/B30*1000</f>
        <v>31.968846842929736</v>
      </c>
      <c r="M30" s="26">
        <v>50</v>
      </c>
      <c r="N30" s="26">
        <v>480</v>
      </c>
      <c r="O30" s="26">
        <v>820</v>
      </c>
      <c r="P30" s="26">
        <v>19</v>
      </c>
      <c r="Q30" s="26">
        <v>1</v>
      </c>
      <c r="R30" s="26">
        <v>250</v>
      </c>
      <c r="S30">
        <f t="shared" ref="S30:S33" si="0">O30/1000*S$28</f>
        <v>0.82</v>
      </c>
      <c r="T30">
        <f t="shared" ref="T30:T33" si="1">N30/1000/2*T$28</f>
        <v>0.24</v>
      </c>
      <c r="U30" s="6">
        <f t="shared" ref="U30:U33" si="2">PI()*(T30*T30)*S30*1000</f>
        <v>148.38370421435309</v>
      </c>
      <c r="V30" s="2">
        <f t="shared" ref="V30:V37" si="3">PI()*T30*2*S30+PI()*T30^2*2</f>
        <v>1.5984423421464866</v>
      </c>
      <c r="W30" s="3">
        <f>V30/M30*1000</f>
        <v>31.968846842929736</v>
      </c>
    </row>
    <row r="31" spans="1:23" x14ac:dyDescent="0.25">
      <c r="B31" s="26">
        <v>75</v>
      </c>
      <c r="C31" s="26">
        <v>560</v>
      </c>
      <c r="D31" s="26">
        <v>720</v>
      </c>
      <c r="E31" s="26">
        <v>22</v>
      </c>
      <c r="F31" s="26">
        <v>2</v>
      </c>
      <c r="G31" s="26">
        <v>330</v>
      </c>
      <c r="H31">
        <f>D31/1000*H$29</f>
        <v>0.72</v>
      </c>
      <c r="I31">
        <f>C31/1000/2*I$29</f>
        <v>0.28000000000000003</v>
      </c>
      <c r="J31" s="6">
        <f>PI()*(I31*I31)*H31*1000</f>
        <v>177.33662210983664</v>
      </c>
      <c r="K31" s="2">
        <f>PI()*I31*2*H31+PI()*I31^2*2</f>
        <v>1.7592918860102844</v>
      </c>
      <c r="L31" s="3">
        <f>K31/B31*1000</f>
        <v>23.457225146803793</v>
      </c>
      <c r="M31" s="26">
        <v>75</v>
      </c>
      <c r="N31" s="26">
        <v>560</v>
      </c>
      <c r="O31" s="26">
        <v>790</v>
      </c>
      <c r="P31" s="26">
        <v>22</v>
      </c>
      <c r="Q31" s="26">
        <v>2</v>
      </c>
      <c r="R31" s="26">
        <v>330</v>
      </c>
      <c r="S31">
        <f t="shared" si="0"/>
        <v>0.79</v>
      </c>
      <c r="T31">
        <f t="shared" si="1"/>
        <v>0.28000000000000003</v>
      </c>
      <c r="U31" s="6">
        <f t="shared" si="2"/>
        <v>194.57768259273743</v>
      </c>
      <c r="V31" s="2">
        <f t="shared" si="3"/>
        <v>1.8824423180310044</v>
      </c>
      <c r="W31" s="3">
        <f t="shared" ref="W31:W33" si="4">V31/M31*1000</f>
        <v>25.099230907080056</v>
      </c>
    </row>
    <row r="32" spans="1:23" x14ac:dyDescent="0.25">
      <c r="B32" s="26">
        <v>100</v>
      </c>
      <c r="C32" s="26">
        <v>560</v>
      </c>
      <c r="D32" s="26">
        <v>930</v>
      </c>
      <c r="E32" s="26">
        <v>25</v>
      </c>
      <c r="F32" s="26">
        <v>2</v>
      </c>
      <c r="G32" s="26">
        <v>330</v>
      </c>
      <c r="H32">
        <f>D32/1000*H$29</f>
        <v>0.93</v>
      </c>
      <c r="I32">
        <f>C32/1000/2*I$29</f>
        <v>0.28000000000000003</v>
      </c>
      <c r="J32" s="6">
        <f>PI()*(I32*I32)*H32*1000</f>
        <v>229.05980355853902</v>
      </c>
      <c r="K32" s="2">
        <f>PI()*I32*2*H32+PI()*I32^2*2</f>
        <v>2.1287431820724443</v>
      </c>
      <c r="L32" s="3">
        <f>K32/B32*1000</f>
        <v>21.287431820724443</v>
      </c>
      <c r="M32" s="26">
        <v>100</v>
      </c>
      <c r="N32" s="26">
        <v>560</v>
      </c>
      <c r="O32" s="26">
        <v>930</v>
      </c>
      <c r="P32" s="26">
        <v>25</v>
      </c>
      <c r="Q32" s="26">
        <v>2</v>
      </c>
      <c r="R32" s="26">
        <v>330</v>
      </c>
      <c r="S32">
        <f t="shared" si="0"/>
        <v>0.93</v>
      </c>
      <c r="T32">
        <f t="shared" si="1"/>
        <v>0.28000000000000003</v>
      </c>
      <c r="U32" s="6">
        <f t="shared" si="2"/>
        <v>229.05980355853902</v>
      </c>
      <c r="V32" s="2">
        <f t="shared" si="3"/>
        <v>2.1287431820724443</v>
      </c>
      <c r="W32" s="3">
        <f t="shared" si="4"/>
        <v>21.287431820724443</v>
      </c>
    </row>
    <row r="33" spans="2:23" x14ac:dyDescent="0.25">
      <c r="B33" s="26">
        <v>150</v>
      </c>
      <c r="C33" s="26">
        <v>560</v>
      </c>
      <c r="D33" s="26">
        <v>1180</v>
      </c>
      <c r="E33" s="26">
        <v>32</v>
      </c>
      <c r="F33" s="26">
        <v>3</v>
      </c>
      <c r="G33" s="26">
        <v>400</v>
      </c>
      <c r="H33">
        <f>D33/1000*H$29</f>
        <v>1.18</v>
      </c>
      <c r="I33">
        <f>C33/1000/2*I$29</f>
        <v>0.28000000000000003</v>
      </c>
      <c r="J33" s="6">
        <f>PI()*(I33*I33)*H33*1000</f>
        <v>290.635019568899</v>
      </c>
      <c r="K33" s="2">
        <f>PI()*I33*2*H33+PI()*I33^2*2</f>
        <v>2.5685661535750155</v>
      </c>
      <c r="L33" s="3">
        <f>K33/B33*1000</f>
        <v>17.12377435716677</v>
      </c>
      <c r="M33" s="26">
        <v>150</v>
      </c>
      <c r="N33" s="26">
        <v>560</v>
      </c>
      <c r="O33" s="26">
        <v>1180</v>
      </c>
      <c r="P33" s="26">
        <v>32</v>
      </c>
      <c r="Q33" s="26">
        <v>3</v>
      </c>
      <c r="R33" s="26">
        <v>400</v>
      </c>
      <c r="S33">
        <f t="shared" si="0"/>
        <v>1.18</v>
      </c>
      <c r="T33">
        <f t="shared" si="1"/>
        <v>0.28000000000000003</v>
      </c>
      <c r="U33" s="6">
        <f t="shared" si="2"/>
        <v>290.635019568899</v>
      </c>
      <c r="V33" s="2">
        <f t="shared" si="3"/>
        <v>2.5685661535750155</v>
      </c>
      <c r="W33" s="3">
        <f t="shared" si="4"/>
        <v>17.12377435716677</v>
      </c>
    </row>
    <row r="34" spans="2:23" x14ac:dyDescent="0.25">
      <c r="B34" s="31" t="s">
        <v>58</v>
      </c>
      <c r="M34" s="26">
        <v>200</v>
      </c>
      <c r="N34" s="26">
        <v>665</v>
      </c>
      <c r="O34" s="26">
        <v>1150</v>
      </c>
      <c r="P34" s="26">
        <v>40</v>
      </c>
      <c r="Q34" s="26">
        <v>4</v>
      </c>
      <c r="R34" s="26">
        <v>470</v>
      </c>
      <c r="S34">
        <f>O34/1000*S$28</f>
        <v>1.1499999999999999</v>
      </c>
      <c r="T34">
        <f>N34/1000/2*T$28</f>
        <v>0.33250000000000002</v>
      </c>
      <c r="U34" s="6">
        <f>PI()*(T34*T34)*S34*1000</f>
        <v>399.42110822970204</v>
      </c>
      <c r="V34" s="2">
        <f t="shared" si="3"/>
        <v>3.0971783874496674</v>
      </c>
      <c r="W34" s="3">
        <f>V34/M34*1000</f>
        <v>15.485891937248338</v>
      </c>
    </row>
    <row r="35" spans="2:23" ht="16.5" customHeight="1" x14ac:dyDescent="0.25">
      <c r="B35" s="27" t="s">
        <v>53</v>
      </c>
      <c r="C35" s="27" t="s">
        <v>61</v>
      </c>
      <c r="D35" s="27" t="s">
        <v>62</v>
      </c>
      <c r="E35" s="27" t="s">
        <v>54</v>
      </c>
      <c r="F35" s="27" t="s">
        <v>55</v>
      </c>
      <c r="G35" s="27" t="s">
        <v>56</v>
      </c>
      <c r="H35" s="28" t="s">
        <v>59</v>
      </c>
      <c r="I35" s="28" t="s">
        <v>60</v>
      </c>
      <c r="J35" s="28" t="s">
        <v>66</v>
      </c>
      <c r="K35" s="28" t="s">
        <v>64</v>
      </c>
      <c r="L35" s="28" t="s">
        <v>65</v>
      </c>
      <c r="M35" s="34">
        <v>250</v>
      </c>
      <c r="N35" s="35">
        <v>665</v>
      </c>
      <c r="O35" s="35">
        <v>1300</v>
      </c>
      <c r="P35" s="35">
        <v>40</v>
      </c>
      <c r="Q35" s="35">
        <v>4</v>
      </c>
      <c r="R35" s="35">
        <v>470</v>
      </c>
      <c r="S35" s="12">
        <f>O35/1000*S$28</f>
        <v>1.3</v>
      </c>
      <c r="T35" s="12">
        <f>N35/1000/2*T$28</f>
        <v>0.33250000000000002</v>
      </c>
      <c r="U35" s="36">
        <f>PI()*(T35*T35)*S35*1000</f>
        <v>451.51951365096755</v>
      </c>
      <c r="V35" s="2">
        <f t="shared" si="3"/>
        <v>3.4105522546452498</v>
      </c>
      <c r="W35" s="37">
        <f>V35/M35*1000</f>
        <v>13.642209018580999</v>
      </c>
    </row>
    <row r="36" spans="2:23" x14ac:dyDescent="0.25">
      <c r="B36" s="26" t="s">
        <v>51</v>
      </c>
      <c r="C36" s="26" t="s">
        <v>52</v>
      </c>
      <c r="D36" s="26" t="s">
        <v>52</v>
      </c>
      <c r="E36" s="26" t="s">
        <v>2</v>
      </c>
      <c r="F36" s="26" t="s">
        <v>3</v>
      </c>
      <c r="G36" s="26" t="s">
        <v>52</v>
      </c>
      <c r="H36" s="29">
        <v>1</v>
      </c>
      <c r="I36" s="29">
        <v>1</v>
      </c>
      <c r="M36" s="26">
        <v>100</v>
      </c>
      <c r="N36" s="26">
        <v>665</v>
      </c>
      <c r="O36" s="26">
        <v>860</v>
      </c>
      <c r="P36" s="26">
        <v>24</v>
      </c>
      <c r="Q36" s="26">
        <v>3</v>
      </c>
      <c r="R36" s="26">
        <v>330</v>
      </c>
      <c r="S36">
        <f>O36/1000*S$28</f>
        <v>0.86</v>
      </c>
      <c r="T36">
        <f>N36/1000/2*T$28</f>
        <v>0.33250000000000002</v>
      </c>
      <c r="U36" s="6">
        <f>PI()*(T36*T36)*S36*1000</f>
        <v>298.69752441525543</v>
      </c>
      <c r="V36" s="2">
        <f t="shared" si="3"/>
        <v>2.4913222442048761</v>
      </c>
      <c r="W36" s="3">
        <f>V36/M36*1000</f>
        <v>24.91322244204876</v>
      </c>
    </row>
    <row r="37" spans="2:23" x14ac:dyDescent="0.25">
      <c r="B37" s="26">
        <v>25</v>
      </c>
      <c r="C37" s="26">
        <v>375</v>
      </c>
      <c r="D37" s="26">
        <v>510</v>
      </c>
      <c r="E37" s="26">
        <v>11</v>
      </c>
      <c r="F37" s="26">
        <v>1</v>
      </c>
      <c r="G37" s="26">
        <v>250</v>
      </c>
      <c r="H37" s="2">
        <f t="shared" ref="H37:H43" si="5">D37/1000*H$36</f>
        <v>0.51</v>
      </c>
      <c r="I37" s="2">
        <f t="shared" ref="I37:I43" si="6">C37/1000/2*I$36</f>
        <v>0.1875</v>
      </c>
      <c r="J37" s="6">
        <f t="shared" ref="J37:J43" si="7">PI()*(I37*I37)*H37*1000</f>
        <v>56.327774531160742</v>
      </c>
      <c r="K37" s="2">
        <f t="shared" ref="K37:K43" si="8">PI()*I37*2*H37+PI()*I37^2*2</f>
        <v>0.82172282845458033</v>
      </c>
      <c r="L37" s="3">
        <f t="shared" ref="L37:L43" si="9">K37/B37*1000</f>
        <v>32.868913138183217</v>
      </c>
      <c r="M37" s="26">
        <v>150</v>
      </c>
      <c r="N37" s="26">
        <v>665</v>
      </c>
      <c r="O37" s="26">
        <v>980</v>
      </c>
      <c r="P37" s="26">
        <v>28</v>
      </c>
      <c r="Q37" s="26">
        <v>3</v>
      </c>
      <c r="R37" s="26">
        <v>400</v>
      </c>
      <c r="S37">
        <f>O37/1000*S$28</f>
        <v>0.98</v>
      </c>
      <c r="T37">
        <f>N37/1000/2*T$28</f>
        <v>0.33250000000000002</v>
      </c>
      <c r="U37" s="6">
        <f>PI()*(T37*T37)*S37*1000</f>
        <v>340.37624875226783</v>
      </c>
      <c r="V37" s="2">
        <f t="shared" si="3"/>
        <v>2.7420213379613418</v>
      </c>
      <c r="W37" s="3">
        <f>V37/M37*1000</f>
        <v>18.280142253075613</v>
      </c>
    </row>
    <row r="38" spans="2:23" x14ac:dyDescent="0.25">
      <c r="B38" s="26">
        <v>50</v>
      </c>
      <c r="C38" s="26">
        <v>480</v>
      </c>
      <c r="D38" s="26">
        <v>635</v>
      </c>
      <c r="E38" s="26">
        <v>16</v>
      </c>
      <c r="F38" s="26">
        <v>1</v>
      </c>
      <c r="G38" s="26">
        <v>250</v>
      </c>
      <c r="H38" s="2">
        <f t="shared" si="5"/>
        <v>0.63500000000000001</v>
      </c>
      <c r="I38" s="2">
        <f t="shared" si="6"/>
        <v>0.24</v>
      </c>
      <c r="J38" s="6">
        <f t="shared" si="7"/>
        <v>114.90689289770027</v>
      </c>
      <c r="K38" s="2">
        <f t="shared" si="8"/>
        <v>1.3194689145077132</v>
      </c>
      <c r="L38" s="3">
        <f t="shared" si="9"/>
        <v>26.389378290154262</v>
      </c>
    </row>
    <row r="39" spans="2:23" x14ac:dyDescent="0.25">
      <c r="B39" s="26">
        <v>75</v>
      </c>
      <c r="C39" s="26">
        <v>560</v>
      </c>
      <c r="D39" s="26">
        <v>650</v>
      </c>
      <c r="E39" s="26">
        <v>22</v>
      </c>
      <c r="F39" s="26">
        <v>2</v>
      </c>
      <c r="G39" s="26">
        <v>330</v>
      </c>
      <c r="H39" s="2">
        <f t="shared" si="5"/>
        <v>0.65</v>
      </c>
      <c r="I39" s="2">
        <f t="shared" si="6"/>
        <v>0.28000000000000003</v>
      </c>
      <c r="J39" s="6">
        <f t="shared" si="7"/>
        <v>160.09556162693588</v>
      </c>
      <c r="K39" s="2">
        <f t="shared" si="8"/>
        <v>1.6361414539895645</v>
      </c>
      <c r="L39" s="3">
        <f t="shared" si="9"/>
        <v>21.815219386527527</v>
      </c>
    </row>
    <row r="40" spans="2:23" x14ac:dyDescent="0.25">
      <c r="B40" s="26">
        <v>100</v>
      </c>
      <c r="C40" s="26">
        <v>560</v>
      </c>
      <c r="D40" s="26">
        <v>770</v>
      </c>
      <c r="E40" s="26">
        <v>24</v>
      </c>
      <c r="F40" s="26">
        <v>2</v>
      </c>
      <c r="G40" s="26">
        <v>330</v>
      </c>
      <c r="H40" s="2">
        <f t="shared" si="5"/>
        <v>0.77</v>
      </c>
      <c r="I40" s="2">
        <f t="shared" si="6"/>
        <v>0.28000000000000003</v>
      </c>
      <c r="J40" s="6">
        <f t="shared" si="7"/>
        <v>189.65166531190866</v>
      </c>
      <c r="K40" s="2">
        <f t="shared" si="8"/>
        <v>1.8472564803107987</v>
      </c>
      <c r="L40" s="3">
        <f t="shared" si="9"/>
        <v>18.472564803107986</v>
      </c>
    </row>
    <row r="41" spans="2:23" x14ac:dyDescent="0.25">
      <c r="B41" s="26">
        <v>150</v>
      </c>
      <c r="C41" s="26">
        <v>560</v>
      </c>
      <c r="D41" s="26">
        <v>1020</v>
      </c>
      <c r="E41" s="26">
        <v>31</v>
      </c>
      <c r="F41" s="26">
        <v>3</v>
      </c>
      <c r="G41" s="26">
        <v>440</v>
      </c>
      <c r="H41" s="2">
        <f t="shared" si="5"/>
        <v>1.02</v>
      </c>
      <c r="I41" s="2">
        <f t="shared" si="6"/>
        <v>0.28000000000000003</v>
      </c>
      <c r="J41" s="6">
        <f t="shared" si="7"/>
        <v>251.22688132226861</v>
      </c>
      <c r="K41" s="2">
        <f t="shared" si="8"/>
        <v>2.2870794518133697</v>
      </c>
      <c r="L41" s="3">
        <f t="shared" si="9"/>
        <v>15.247196345422465</v>
      </c>
    </row>
    <row r="42" spans="2:23" x14ac:dyDescent="0.25">
      <c r="B42" s="26">
        <v>200</v>
      </c>
      <c r="C42" s="26">
        <v>560</v>
      </c>
      <c r="D42" s="26">
        <v>1370</v>
      </c>
      <c r="E42" s="26">
        <v>41</v>
      </c>
      <c r="F42" s="26">
        <v>4</v>
      </c>
      <c r="G42" s="26">
        <v>470</v>
      </c>
      <c r="H42" s="2">
        <f t="shared" si="5"/>
        <v>1.37</v>
      </c>
      <c r="I42" s="2">
        <f t="shared" si="6"/>
        <v>0.28000000000000003</v>
      </c>
      <c r="J42" s="6">
        <f t="shared" si="7"/>
        <v>337.43218373677257</v>
      </c>
      <c r="K42" s="2">
        <f t="shared" si="8"/>
        <v>2.9028316119169695</v>
      </c>
      <c r="L42" s="3">
        <f t="shared" si="9"/>
        <v>14.514158059584847</v>
      </c>
    </row>
    <row r="43" spans="2:23" x14ac:dyDescent="0.25">
      <c r="B43" s="26">
        <v>250</v>
      </c>
      <c r="C43" s="26">
        <v>560</v>
      </c>
      <c r="D43" s="26">
        <v>1975</v>
      </c>
      <c r="E43" s="26">
        <v>49</v>
      </c>
      <c r="F43" s="26">
        <v>4</v>
      </c>
      <c r="G43" s="26">
        <v>470</v>
      </c>
      <c r="H43" s="2">
        <f t="shared" si="5"/>
        <v>1.9750000000000001</v>
      </c>
      <c r="I43" s="2">
        <f t="shared" si="6"/>
        <v>0.28000000000000003</v>
      </c>
      <c r="J43" s="6">
        <f t="shared" si="7"/>
        <v>486.44420648184359</v>
      </c>
      <c r="K43" s="2">
        <f t="shared" si="8"/>
        <v>3.9672032029531916</v>
      </c>
      <c r="L43" s="3">
        <f t="shared" si="9"/>
        <v>15.868812811812766</v>
      </c>
    </row>
    <row r="44" spans="2:23" x14ac:dyDescent="0.25">
      <c r="B44" t="s">
        <v>29</v>
      </c>
    </row>
    <row r="45" spans="2:23" x14ac:dyDescent="0.25">
      <c r="B45" s="1" t="s">
        <v>28</v>
      </c>
    </row>
    <row r="55" spans="2:2" x14ac:dyDescent="0.25">
      <c r="B55" s="1" t="s">
        <v>30</v>
      </c>
    </row>
  </sheetData>
  <hyperlinks>
    <hyperlink ref="E4" r:id="rId1"/>
    <hyperlink ref="H15" r:id="rId2" location="tray" display="http://www.geysers.co.za/geyser_maintenance.htm - tray"/>
    <hyperlink ref="H2" r:id="rId3"/>
    <hyperlink ref="B45" r:id="rId4" display="http://timetable.cput.ac.za/_other_web_files/_cue/DUE/1998/PDF/46 Breakspear D.pdf"/>
    <hyperlink ref="B55" r:id="rId5" display="http://active.cput.ac.za/energy/past_papers/DUE/1995/PDF/26 Uken EA.pdf"/>
    <hyperlink ref="H17" r:id="rId6"/>
    <hyperlink ref="H18" r:id="rId7"/>
    <hyperlink ref="H19" r:id="rId8"/>
    <hyperlink ref="H25" r:id="rId9"/>
    <hyperlink ref="H24" r:id="rId10" display="http://www.energy.gov.za/EEE/Projects/EnergyEfficiencyStandardsAndLabellingForHouseholdAppliances/Status-on-enablingStandards-SANS 941-and-SANS-151.pdf"/>
    <hyperlink ref="M27" r:id="rId11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Standing</vt:lpstr>
      <vt:lpstr>Annual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Davies</dc:creator>
  <cp:lastModifiedBy>R J Davies</cp:lastModifiedBy>
  <dcterms:created xsi:type="dcterms:W3CDTF">2013-07-09T07:32:11Z</dcterms:created>
  <dcterms:modified xsi:type="dcterms:W3CDTF">2016-08-25T09:08:43Z</dcterms:modified>
</cp:coreProperties>
</file>